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10035" activeTab="2"/>
  </bookViews>
  <sheets>
    <sheet name="MAU 93-ck (2)" sheetId="8" r:id="rId1"/>
    <sheet name="MAU 94-ck (4)" sheetId="10" r:id="rId2"/>
    <sheet name="MAU 95-CK " sheetId="3" r:id="rId3"/>
  </sheets>
  <definedNames>
    <definedName name="_xlnm.Print_Titles" localSheetId="0">'MAU 93-ck (2)'!$9:$10</definedName>
    <definedName name="_xlnm.Print_Titles" localSheetId="1">'MAU 94-ck (4)'!$9:$10</definedName>
    <definedName name="_xlnm.Print_Titles" localSheetId="2">'MAU 95-CK '!$10:$11</definedName>
  </definedNames>
  <calcPr calcId="144525"/>
</workbook>
</file>

<file path=xl/calcChain.xml><?xml version="1.0" encoding="utf-8"?>
<calcChain xmlns="http://schemas.openxmlformats.org/spreadsheetml/2006/main">
  <c r="I32" i="8" l="1"/>
  <c r="I31" i="8"/>
  <c r="I30" i="8"/>
  <c r="I27" i="8"/>
  <c r="I26" i="8"/>
  <c r="I25" i="8"/>
  <c r="I24" i="8"/>
  <c r="I23" i="8"/>
  <c r="I22" i="8"/>
  <c r="I21" i="8"/>
  <c r="I18" i="8"/>
  <c r="I15" i="8"/>
  <c r="I14" i="8"/>
  <c r="I13" i="8"/>
  <c r="I12" i="8"/>
  <c r="F32" i="8"/>
  <c r="F31" i="8"/>
  <c r="F30" i="8"/>
  <c r="F27" i="8"/>
  <c r="F26" i="8"/>
  <c r="F25" i="8"/>
  <c r="F24" i="8"/>
  <c r="F23" i="8"/>
  <c r="F22" i="8"/>
  <c r="F21" i="8"/>
  <c r="F18" i="8"/>
  <c r="F15" i="8"/>
  <c r="F14" i="8"/>
  <c r="F13" i="8"/>
  <c r="F12" i="8"/>
  <c r="L44" i="3" l="1"/>
  <c r="L43" i="3"/>
  <c r="L42" i="3"/>
  <c r="L41" i="3"/>
  <c r="L39" i="3"/>
  <c r="L38" i="3"/>
  <c r="L37" i="3"/>
  <c r="L36" i="3"/>
  <c r="L35" i="3"/>
  <c r="L34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5" i="3"/>
  <c r="L14" i="3"/>
  <c r="L13" i="3"/>
  <c r="L12" i="3"/>
  <c r="L10" i="3"/>
  <c r="N12" i="10"/>
  <c r="M12" i="10"/>
  <c r="H12" i="10"/>
  <c r="G12" i="10"/>
  <c r="K12" i="10"/>
  <c r="J12" i="10"/>
  <c r="D12" i="10"/>
  <c r="E12" i="10"/>
  <c r="F12" i="10"/>
  <c r="C12" i="10"/>
  <c r="L9" i="3"/>
  <c r="H44" i="3"/>
  <c r="H43" i="3"/>
  <c r="H42" i="3"/>
  <c r="H41" i="3"/>
  <c r="H39" i="3"/>
  <c r="H38" i="3"/>
  <c r="H37" i="3"/>
  <c r="H36" i="3"/>
  <c r="H35" i="3"/>
  <c r="H34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5" i="3"/>
  <c r="H14" i="3"/>
  <c r="H13" i="3"/>
  <c r="H12" i="3"/>
  <c r="H10" i="3"/>
  <c r="H9" i="3"/>
  <c r="O10" i="10"/>
  <c r="I39" i="10"/>
  <c r="I34" i="10"/>
  <c r="I33" i="10"/>
  <c r="I29" i="10"/>
  <c r="I27" i="10"/>
  <c r="I26" i="10"/>
  <c r="I25" i="10"/>
  <c r="I24" i="10"/>
  <c r="I23" i="10"/>
  <c r="I21" i="10"/>
  <c r="I19" i="10"/>
  <c r="I18" i="10"/>
  <c r="I16" i="10"/>
  <c r="I15" i="10"/>
  <c r="I14" i="10"/>
  <c r="I13" i="10"/>
  <c r="I11" i="10"/>
  <c r="I10" i="10"/>
  <c r="N10" i="10" l="1"/>
  <c r="D43" i="10"/>
  <c r="F45" i="10"/>
  <c r="F43" i="10"/>
  <c r="G24" i="8" l="1"/>
  <c r="C24" i="8"/>
  <c r="D24" i="8"/>
  <c r="G30" i="8"/>
  <c r="G13" i="8"/>
  <c r="E12" i="3"/>
  <c r="G23" i="8" l="1"/>
  <c r="G14" i="8"/>
  <c r="G12" i="8"/>
  <c r="G22" i="8" l="1"/>
  <c r="E19" i="3"/>
  <c r="E48" i="3"/>
  <c r="E47" i="3" s="1"/>
  <c r="E34" i="3"/>
  <c r="G21" i="8" l="1"/>
  <c r="G41" i="8"/>
  <c r="K13" i="3"/>
  <c r="K14" i="3"/>
  <c r="K15" i="3"/>
  <c r="K16" i="3"/>
  <c r="K17" i="3"/>
  <c r="K20" i="3"/>
  <c r="K21" i="3"/>
  <c r="K22" i="3"/>
  <c r="K23" i="3"/>
  <c r="K24" i="3"/>
  <c r="K25" i="3"/>
  <c r="K26" i="3"/>
  <c r="K27" i="3"/>
  <c r="K28" i="3"/>
  <c r="K29" i="3"/>
  <c r="K30" i="3"/>
  <c r="K31" i="3"/>
  <c r="K35" i="3"/>
  <c r="K36" i="3"/>
  <c r="K37" i="3"/>
  <c r="K38" i="3"/>
  <c r="K39" i="3"/>
  <c r="K41" i="3"/>
  <c r="K42" i="3"/>
  <c r="K43" i="3"/>
  <c r="K44" i="3"/>
  <c r="K46" i="3"/>
  <c r="J13" i="3"/>
  <c r="J14" i="3"/>
  <c r="J15" i="3"/>
  <c r="J17" i="3"/>
  <c r="J22" i="3"/>
  <c r="J27" i="3"/>
  <c r="G13" i="3"/>
  <c r="G14" i="3"/>
  <c r="G15" i="3"/>
  <c r="G16" i="3"/>
  <c r="G17" i="3"/>
  <c r="G20" i="3"/>
  <c r="G21" i="3"/>
  <c r="G22" i="3"/>
  <c r="G23" i="3"/>
  <c r="G24" i="3"/>
  <c r="G25" i="3"/>
  <c r="G26" i="3"/>
  <c r="G27" i="3"/>
  <c r="G28" i="3"/>
  <c r="G29" i="3"/>
  <c r="G30" i="3"/>
  <c r="G31" i="3"/>
  <c r="G35" i="3"/>
  <c r="G36" i="3"/>
  <c r="G37" i="3"/>
  <c r="G38" i="3"/>
  <c r="G39" i="3"/>
  <c r="G41" i="3"/>
  <c r="G42" i="3"/>
  <c r="G43" i="3"/>
  <c r="G44" i="3"/>
  <c r="G46" i="3"/>
  <c r="G48" i="3"/>
  <c r="G49" i="3"/>
  <c r="G50" i="3"/>
  <c r="G51" i="3"/>
  <c r="F13" i="3"/>
  <c r="F14" i="3"/>
  <c r="F15" i="3"/>
  <c r="F17" i="3"/>
  <c r="F22" i="3"/>
  <c r="F27" i="3"/>
  <c r="F48" i="3"/>
  <c r="D12" i="3"/>
  <c r="D48" i="3"/>
  <c r="I12" i="3" l="1"/>
  <c r="I11" i="3" l="1"/>
  <c r="K12" i="3"/>
  <c r="I19" i="3"/>
  <c r="I34" i="3"/>
  <c r="I53" i="3"/>
  <c r="I52" i="3" s="1"/>
  <c r="I32" i="3" l="1"/>
  <c r="H28" i="10"/>
  <c r="G14" i="10"/>
  <c r="G15" i="10"/>
  <c r="G16" i="10"/>
  <c r="G18" i="10"/>
  <c r="G19" i="10"/>
  <c r="G21" i="10"/>
  <c r="G23" i="10"/>
  <c r="G24" i="10"/>
  <c r="G25" i="10"/>
  <c r="G26" i="10"/>
  <c r="G27" i="10"/>
  <c r="G28" i="10"/>
  <c r="G29" i="10"/>
  <c r="G40" i="10"/>
  <c r="F41" i="10"/>
  <c r="F40" i="10"/>
  <c r="H40" i="10" s="1"/>
  <c r="E39" i="10"/>
  <c r="F29" i="10"/>
  <c r="H29" i="10" s="1"/>
  <c r="F27" i="10"/>
  <c r="H27" i="10" s="1"/>
  <c r="F25" i="10"/>
  <c r="H25" i="10" s="1"/>
  <c r="F26" i="10"/>
  <c r="H26" i="10" s="1"/>
  <c r="F24" i="10"/>
  <c r="H24" i="10" s="1"/>
  <c r="F23" i="10"/>
  <c r="H23" i="10" s="1"/>
  <c r="F21" i="10"/>
  <c r="H21" i="10" s="1"/>
  <c r="F19" i="10"/>
  <c r="H19" i="10" s="1"/>
  <c r="F18" i="10"/>
  <c r="H18" i="10" s="1"/>
  <c r="F15" i="10"/>
  <c r="H15" i="10" s="1"/>
  <c r="F16" i="10"/>
  <c r="H16" i="10" s="1"/>
  <c r="F14" i="10"/>
  <c r="H14" i="10" s="1"/>
  <c r="F39" i="10" l="1"/>
  <c r="I18" i="3"/>
  <c r="J18" i="3" l="1"/>
  <c r="I10" i="3"/>
  <c r="F13" i="10"/>
  <c r="H13" i="10" l="1"/>
  <c r="I9" i="3"/>
  <c r="K48" i="10"/>
  <c r="J48" i="10"/>
  <c r="D48" i="10"/>
  <c r="C48" i="10"/>
  <c r="M44" i="10"/>
  <c r="N44" i="10"/>
  <c r="D44" i="10"/>
  <c r="D42" i="10"/>
  <c r="D41" i="10" s="1"/>
  <c r="C41" i="10"/>
  <c r="C39" i="10" s="1"/>
  <c r="G39" i="10" s="1"/>
  <c r="M40" i="10"/>
  <c r="D40" i="10"/>
  <c r="M34" i="10"/>
  <c r="D34" i="10"/>
  <c r="M33" i="10"/>
  <c r="M29" i="10"/>
  <c r="D29" i="10"/>
  <c r="M28" i="10"/>
  <c r="D28" i="10"/>
  <c r="N28" i="10" s="1"/>
  <c r="M27" i="10"/>
  <c r="D27" i="10"/>
  <c r="N27" i="10" s="1"/>
  <c r="M26" i="10"/>
  <c r="D26" i="10"/>
  <c r="D25" i="10" s="1"/>
  <c r="M25" i="10"/>
  <c r="M24" i="10"/>
  <c r="D24" i="10"/>
  <c r="M23" i="10"/>
  <c r="D23" i="10"/>
  <c r="N23" i="10" s="1"/>
  <c r="M21" i="10"/>
  <c r="D21" i="10"/>
  <c r="N21" i="10" s="1"/>
  <c r="M19" i="10"/>
  <c r="D19" i="10"/>
  <c r="M18" i="10"/>
  <c r="K13" i="10"/>
  <c r="D18" i="10"/>
  <c r="N18" i="10" s="1"/>
  <c r="M16" i="10"/>
  <c r="D16" i="10"/>
  <c r="N16" i="10" s="1"/>
  <c r="M15" i="10"/>
  <c r="D15" i="10"/>
  <c r="N15" i="10" s="1"/>
  <c r="M14" i="10"/>
  <c r="D14" i="10"/>
  <c r="N14" i="10" s="1"/>
  <c r="L13" i="10"/>
  <c r="L11" i="10" s="1"/>
  <c r="J13" i="10"/>
  <c r="E13" i="10"/>
  <c r="D13" i="10"/>
  <c r="C13" i="10"/>
  <c r="J11" i="10"/>
  <c r="M39" i="10" l="1"/>
  <c r="G13" i="10"/>
  <c r="N40" i="10"/>
  <c r="N25" i="10"/>
  <c r="N13" i="10"/>
  <c r="N19" i="10"/>
  <c r="D39" i="10"/>
  <c r="N39" i="10" s="1"/>
  <c r="N34" i="10"/>
  <c r="L9" i="10"/>
  <c r="L10" i="10"/>
  <c r="J9" i="10"/>
  <c r="C11" i="10"/>
  <c r="K11" i="10"/>
  <c r="M13" i="10"/>
  <c r="N24" i="10"/>
  <c r="N29" i="10"/>
  <c r="N26" i="10"/>
  <c r="J10" i="10"/>
  <c r="D33" i="10"/>
  <c r="N33" i="10" s="1"/>
  <c r="H39" i="10" l="1"/>
  <c r="D10" i="10"/>
  <c r="D11" i="10"/>
  <c r="C9" i="10"/>
  <c r="M9" i="10" s="1"/>
  <c r="C10" i="10"/>
  <c r="M10" i="10" s="1"/>
  <c r="M11" i="10"/>
  <c r="D9" i="10"/>
  <c r="K10" i="10"/>
  <c r="K9" i="10"/>
  <c r="N9" i="10" l="1"/>
  <c r="N11" i="10"/>
  <c r="N53" i="3" l="1"/>
  <c r="N52" i="3" s="1"/>
  <c r="N34" i="3"/>
  <c r="N32" i="3" s="1"/>
  <c r="N31" i="3"/>
  <c r="N19" i="3"/>
  <c r="N12" i="3"/>
  <c r="N11" i="3" s="1"/>
  <c r="N18" i="3" l="1"/>
  <c r="N10" i="3" s="1"/>
  <c r="N9" i="3" s="1"/>
  <c r="D11" i="3"/>
  <c r="C12" i="3"/>
  <c r="J12" i="3" s="1"/>
  <c r="E53" i="3"/>
  <c r="E52" i="3" s="1"/>
  <c r="D52" i="3"/>
  <c r="E32" i="3"/>
  <c r="D34" i="3"/>
  <c r="D19" i="3"/>
  <c r="K19" i="3" s="1"/>
  <c r="C11" i="3"/>
  <c r="G19" i="3" l="1"/>
  <c r="D32" i="3"/>
  <c r="K32" i="3" s="1"/>
  <c r="G34" i="3"/>
  <c r="K34" i="3"/>
  <c r="C10" i="3"/>
  <c r="J11" i="3"/>
  <c r="K11" i="3"/>
  <c r="E18" i="3"/>
  <c r="D18" i="3" l="1"/>
  <c r="G18" i="3" s="1"/>
  <c r="G32" i="3"/>
  <c r="C9" i="3"/>
  <c r="J9" i="3" s="1"/>
  <c r="J10" i="3"/>
  <c r="G12" i="3"/>
  <c r="E11" i="3"/>
  <c r="F18" i="3"/>
  <c r="F12" i="3"/>
  <c r="E10" i="3" l="1"/>
  <c r="H11" i="3"/>
  <c r="K18" i="3"/>
  <c r="D10" i="3"/>
  <c r="F11" i="3"/>
  <c r="G11" i="3"/>
  <c r="C14" i="8"/>
  <c r="E32" i="8"/>
  <c r="E15" i="8"/>
  <c r="E9" i="3" l="1"/>
  <c r="D9" i="3"/>
  <c r="K9" i="3" s="1"/>
  <c r="K10" i="3"/>
  <c r="G10" i="3"/>
  <c r="F10" i="3"/>
  <c r="C23" i="8"/>
  <c r="F9" i="3" l="1"/>
  <c r="G9" i="3"/>
  <c r="C30" i="8" l="1"/>
  <c r="C22" i="8" l="1"/>
  <c r="C33" i="8"/>
  <c r="D30" i="8" l="1"/>
  <c r="D23" i="8"/>
  <c r="D13" i="8"/>
  <c r="C13" i="8"/>
  <c r="D14" i="8" l="1"/>
  <c r="D22" i="8"/>
  <c r="E13" i="8"/>
  <c r="C12" i="8"/>
  <c r="D12" i="8"/>
  <c r="D21" i="8" l="1"/>
  <c r="E14" i="8"/>
  <c r="E12" i="8"/>
  <c r="E22" i="8"/>
  <c r="C21" i="8" l="1"/>
  <c r="E21" i="8" s="1"/>
  <c r="G33" i="10" l="1"/>
  <c r="E10" i="10"/>
  <c r="E9" i="10"/>
  <c r="E11" i="10"/>
  <c r="G11" i="10"/>
  <c r="G34" i="10"/>
  <c r="F34" i="10"/>
  <c r="H34" i="10" s="1"/>
  <c r="F33" i="10"/>
  <c r="H33" i="10" s="1"/>
  <c r="F11" i="10" l="1"/>
  <c r="G10" i="10"/>
  <c r="H11" i="10" l="1"/>
  <c r="F10" i="10"/>
  <c r="H10" i="10" s="1"/>
</calcChain>
</file>

<file path=xl/comments1.xml><?xml version="1.0" encoding="utf-8"?>
<comments xmlns="http://schemas.openxmlformats.org/spreadsheetml/2006/main">
  <authors>
    <author>PhongVuBienHoa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PhongVuBienHoa:</t>
        </r>
        <r>
          <rPr>
            <sz val="8"/>
            <color indexed="81"/>
            <rFont val="Tahoma"/>
            <family val="2"/>
          </rPr>
          <t xml:space="preserve">
của xã tp ko hưởng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I3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SỐ CHI chuyển nguồn xdcb</t>
        </r>
      </text>
    </comment>
  </commentList>
</comments>
</file>

<file path=xl/sharedStrings.xml><?xml version="1.0" encoding="utf-8"?>
<sst xmlns="http://schemas.openxmlformats.org/spreadsheetml/2006/main" count="237" uniqueCount="179">
  <si>
    <t>STT</t>
  </si>
  <si>
    <t>A</t>
  </si>
  <si>
    <t>B</t>
  </si>
  <si>
    <t>Nội dung</t>
  </si>
  <si>
    <t>3=2/1</t>
  </si>
  <si>
    <t>I</t>
  </si>
  <si>
    <t>Chi đầu tư phát triển</t>
  </si>
  <si>
    <t>Dự phòng ngân sách</t>
  </si>
  <si>
    <t>II</t>
  </si>
  <si>
    <t>III</t>
  </si>
  <si>
    <t>C</t>
  </si>
  <si>
    <t>IV</t>
  </si>
  <si>
    <t>CỘNG HÒA XÃ HỘI CHỦ NGHĨA VIỆT NAM</t>
  </si>
  <si>
    <t>Độc Lập - Tự do- Hạnh Phúc</t>
  </si>
  <si>
    <t>CÂN ĐỐI NGÂN SÁCH THÀNH PHỐ BIÊN HÒA</t>
  </si>
  <si>
    <t>a</t>
  </si>
  <si>
    <t>b</t>
  </si>
  <si>
    <t>Tỉnh thu thành phố hưởng</t>
  </si>
  <si>
    <t>Chi cân đối ngân sách thành phố</t>
  </si>
  <si>
    <t xml:space="preserve">Chi thường xuyên </t>
  </si>
  <si>
    <t>trong đó: cấp thành phố</t>
  </si>
  <si>
    <t>Thu khác ngân sách</t>
  </si>
  <si>
    <t>Thu bổ sung từ ngân sách cấp trên</t>
  </si>
  <si>
    <t>D</t>
  </si>
  <si>
    <t>Chi quốc phòng</t>
  </si>
  <si>
    <t>Chi thường xuyên</t>
  </si>
  <si>
    <t>Khối phường xã</t>
  </si>
  <si>
    <t>Thu kết dư năm trước chuyển sang</t>
  </si>
  <si>
    <t>UBND THÀNH PHỐ BIÊN HÒA</t>
  </si>
  <si>
    <t>PHÒNG TÀI CHÍNH KẾ HOẠCH</t>
  </si>
  <si>
    <t>Chi XDCB nguồn vốn tập trung</t>
  </si>
  <si>
    <t>Chi XDCB nguồn thu tiền sử dụng đất</t>
  </si>
  <si>
    <t>Chi XDCB nguồn xổ sổ kiến thiết</t>
  </si>
  <si>
    <t>Chi tạo nguồn cải cách tiền lương</t>
  </si>
  <si>
    <t xml:space="preserve">Thu cân đối ngân sách thành phố </t>
  </si>
  <si>
    <t>Thu Nội đia</t>
  </si>
  <si>
    <t>Chi đầu tư XDCB</t>
  </si>
  <si>
    <t>Thu quản lý qua ngân sách</t>
  </si>
  <si>
    <t>Thu chuyển nguồn từ năm trước chuyển sang</t>
  </si>
  <si>
    <t>TỔNG CHI NGÂN SÁCH HUYỆN (I+II+III)</t>
  </si>
  <si>
    <t>Tạm chi chưa đưa vào cân đối NS</t>
  </si>
  <si>
    <t>TỔNG NGUỒN THU NSNN TRÊN ĐỊA BÀN ( I+II)</t>
  </si>
  <si>
    <t>-</t>
  </si>
  <si>
    <t>Chi đầu tư phát triển NS thành phố</t>
  </si>
  <si>
    <t>Chi XDCB NS phường xã</t>
  </si>
  <si>
    <t>V</t>
  </si>
  <si>
    <t>Trong đó: nếu loại trừ tiền sử dụng đất</t>
  </si>
  <si>
    <t xml:space="preserve">Chi nộp ngân sách cấp trên </t>
  </si>
  <si>
    <t>Chi chuyển giao ngân sách ( bs ngân sách cấp dưới)</t>
  </si>
  <si>
    <t>Độc Lập - Tự do - Hạnh phúc</t>
  </si>
  <si>
    <t>Thu trên địa bàn</t>
  </si>
  <si>
    <t>Thu điều tiết</t>
  </si>
  <si>
    <t>Thu từ khu vực kinh tế ngoài quốc doanh</t>
  </si>
  <si>
    <t>Trong đó: Thu từ cơ sở kinh doanh nhập khẩu tiếp tục bán ra trong nước</t>
  </si>
  <si>
    <t>- Thuế tài nguyên</t>
  </si>
  <si>
    <t>Thuế sử dụng đất nông nghiệp</t>
  </si>
  <si>
    <t>Thuế CQSDĐ</t>
  </si>
  <si>
    <t>Phí, lệ phí</t>
  </si>
  <si>
    <t>- Phí, lệ phí do cơ quan nhà nước địa phương thu</t>
  </si>
  <si>
    <t>Thu tiền thuê đất, mặt nước</t>
  </si>
  <si>
    <t>Thu từ bán tài sản nhà nước</t>
  </si>
  <si>
    <t xml:space="preserve">                - Do địa phương quản lý</t>
  </si>
  <si>
    <t>Thu tiền cho thuê và bán nhà ở thuộc sở hữu nhà nước</t>
  </si>
  <si>
    <t>Trong cân đối</t>
  </si>
  <si>
    <t>Thu từ quỹ đất công ích và thu hoa lợi công sản khác</t>
  </si>
  <si>
    <t>Thu các quyền khai thác khoáng sản</t>
  </si>
  <si>
    <t>Thu từ hoạt động xổ số kiến thiết (kể cả hoạt động xổ số điện toán)</t>
  </si>
  <si>
    <t>THU TỪ DẦU THÔ</t>
  </si>
  <si>
    <t>Thu bổ sung từ ngân sách tỉnh</t>
  </si>
  <si>
    <t>- Thu bổ sung cân đối</t>
  </si>
  <si>
    <t xml:space="preserve">      + Bổ sung đợt I</t>
  </si>
  <si>
    <t xml:space="preserve">      + Bổ sung đợt II</t>
  </si>
  <si>
    <t>Thu từ nguồn thu tại đơn vị</t>
  </si>
  <si>
    <t xml:space="preserve"> - Số thu thành phố hưởng </t>
  </si>
  <si>
    <t>KHOẢN CHI</t>
  </si>
  <si>
    <t xml:space="preserve"> % (Thực hiện/dự toán tỉnh giao)</t>
  </si>
  <si>
    <t>TỔNG CHI NGÂN SÁCH ĐỊA PHƯƠNG ( A+B+C+D)</t>
  </si>
  <si>
    <t xml:space="preserve"> CHI CÂN ĐỐI NS ĐỊA PHƯƠNG ( I+II+III)</t>
  </si>
  <si>
    <t>Chi đầu tư phát triển thành phố</t>
  </si>
  <si>
    <t>Chi đầu tư NS thành phố</t>
  </si>
  <si>
    <t>chi đầu tư XDCB tập trung</t>
  </si>
  <si>
    <t>Chi đầu tư XDCB từ nguồn sử dụng đất</t>
  </si>
  <si>
    <t>Chi đầu tư XDCB từ nguồn xổ số kiến thiết</t>
  </si>
  <si>
    <t xml:space="preserve">Chi thường xuyên theo lĩnh vực </t>
  </si>
  <si>
    <t>II.1</t>
  </si>
  <si>
    <t>Ngân sách thành phố</t>
  </si>
  <si>
    <t>Chi an ninh</t>
  </si>
  <si>
    <t xml:space="preserve">Chi sự nghiệp GDĐT và Dạy nghề </t>
  </si>
  <si>
    <t xml:space="preserve">Chi sự nghiệp y tế </t>
  </si>
  <si>
    <t xml:space="preserve">Chi SN văn hóa thông tin </t>
  </si>
  <si>
    <t xml:space="preserve">Chi SN truyền thanh </t>
  </si>
  <si>
    <t xml:space="preserve">Chi SN thể dục -TT </t>
  </si>
  <si>
    <t xml:space="preserve">Chi SN môi trường  </t>
  </si>
  <si>
    <t xml:space="preserve">Chi SN kinh tế </t>
  </si>
  <si>
    <t xml:space="preserve">Chi bảo đảm XH </t>
  </si>
  <si>
    <t xml:space="preserve">Chi lĩnh vực khác </t>
  </si>
  <si>
    <t>II.2</t>
  </si>
  <si>
    <t xml:space="preserve">Ngân sách phường, xã </t>
  </si>
  <si>
    <t>2.1</t>
  </si>
  <si>
    <t>2.2</t>
  </si>
  <si>
    <t>2.3</t>
  </si>
  <si>
    <t>2.4</t>
  </si>
  <si>
    <t>2.5</t>
  </si>
  <si>
    <t>2.6</t>
  </si>
  <si>
    <t>2.7</t>
  </si>
  <si>
    <t>2.8</t>
  </si>
  <si>
    <t>Chi QL nhà nước, các hội đoàn thể</t>
  </si>
  <si>
    <t>2.9</t>
  </si>
  <si>
    <t>2.10</t>
  </si>
  <si>
    <t>Nhiệm vụ Chi khác XDCB ( chuyển vốn ủy thác)</t>
  </si>
  <si>
    <t xml:space="preserve">CHI CHUYỂN GIAO NGÂN SÁCH </t>
  </si>
  <si>
    <t xml:space="preserve">Chi bổ sung ngân sách cấp xã </t>
  </si>
  <si>
    <t>bổ sung cân đối</t>
  </si>
  <si>
    <t>bổ sung mục tiêu</t>
  </si>
  <si>
    <t>Dự phòng</t>
  </si>
  <si>
    <t>Ngân sách phường xã</t>
  </si>
  <si>
    <t>E</t>
  </si>
  <si>
    <t>CHI CHUYỂN NGUỒN</t>
  </si>
  <si>
    <t>Dự toán năm 2023</t>
  </si>
  <si>
    <t>So sánh ước thực hiện với (%)</t>
  </si>
  <si>
    <t xml:space="preserve">Dự toán năm </t>
  </si>
  <si>
    <t>Cùng kỳ năm trước</t>
  </si>
  <si>
    <t>ĐVT: đồng</t>
  </si>
  <si>
    <t>So sánh</t>
  </si>
  <si>
    <t>% ước thực hiệnthu địa bàn / DT 2023</t>
  </si>
  <si>
    <t>% ước thực hiện thu điều tiết năm / DT 2023</t>
  </si>
  <si>
    <t xml:space="preserve">TỔNG THU NSNN TRÊN ĐỊA BÀN (I+II+III+IV+V+VI) </t>
  </si>
  <si>
    <t>THU NGÂN SÁCH ĐỊA PHƯƠNG (I+II+III)</t>
  </si>
  <si>
    <t>THU NỘI ĐỊA</t>
  </si>
  <si>
    <t>' Thuế GTGT ( 50%)</t>
  </si>
  <si>
    <t>- Thuế thu nhập doanh nghiệp (50%)</t>
  </si>
  <si>
    <t>- Thuế tiêu thụ đặc biệt ( 50%)</t>
  </si>
  <si>
    <t>Lệ phí trước bạ (100%)</t>
  </si>
  <si>
    <t>Thuế sử dụng đất phi nông nghiệp (100%)</t>
  </si>
  <si>
    <t>Thuế thu nhập cá nhân (50%)</t>
  </si>
  <si>
    <t>Thuế bảo vệ môi trường (50%)</t>
  </si>
  <si>
    <t>Tiền sử dụng đất (60%)</t>
  </si>
  <si>
    <t>- Thu do cơ quan, tổ chức, đơn vị thuộc địa phương quản lý</t>
  </si>
  <si>
    <t>- Thu bổ sung mục tiêu</t>
  </si>
  <si>
    <t>- Thu bổ sung mục tiêu từ nguồn xổ sổ kiến thiết</t>
  </si>
  <si>
    <t>Thu chuyển nguồn</t>
  </si>
  <si>
    <t>Thu nộp ngân sách cấp trên</t>
  </si>
  <si>
    <t>VI</t>
  </si>
  <si>
    <t>Thu kết dư</t>
  </si>
  <si>
    <t>VII</t>
  </si>
  <si>
    <t>Thu từ các đơn vị sự nghiệp tại địa phương (60%)</t>
  </si>
  <si>
    <t>Ghi chú: (1) Bao gồm các khoản thu NSĐP hưởng 100%, các khoản thu phân chia giữa NSTW và NSĐP.</t>
  </si>
  <si>
    <t>Dự toán tỉnh giao</t>
  </si>
  <si>
    <t>Dự toán HĐND giao</t>
  </si>
  <si>
    <t xml:space="preserve"> % (Thực hiện/dự toán hđnd  giao)</t>
  </si>
  <si>
    <t>Chi QL nhà nước</t>
  </si>
  <si>
    <t>Nhiệm vụ chi khác ( ghi chi tiền sử dụng đất)</t>
  </si>
  <si>
    <t>CHI ĐẦU TƯ PHÁT TRIỂN (chi chuyển nguồn)</t>
  </si>
  <si>
    <t>so cùng kỳ</t>
  </si>
  <si>
    <t>Chi đầu tư NS phường xã</t>
  </si>
  <si>
    <t>Quý 1 năm 2022</t>
  </si>
  <si>
    <t>5=3/1</t>
  </si>
  <si>
    <t>6=4/2</t>
  </si>
  <si>
    <t>6 tháng năm 2022</t>
  </si>
  <si>
    <t>Thu NSNN năm 2023</t>
  </si>
  <si>
    <t>9=7/1</t>
  </si>
  <si>
    <t>10=8/2</t>
  </si>
  <si>
    <t>Chi đầu tư XDCB từ nguồn thưởng vượt thu 2021</t>
  </si>
  <si>
    <t>TẠM CHI CHƯA ĐƯA VÀO CÂN ĐỐI NS</t>
  </si>
  <si>
    <t>% so cùng kỳ</t>
  </si>
  <si>
    <t>Chi XDCB nguồn thưởng vượt thu 2021</t>
  </si>
  <si>
    <t xml:space="preserve"> TÌNH HÌNH THỰC HIỆN THU NGÂN SÁCH QUÝ III NĂM 2023</t>
  </si>
  <si>
    <t>Thu Quý III/2023</t>
  </si>
  <si>
    <t>Thu điều tiết quý III/2023</t>
  </si>
  <si>
    <t>Thu trên địa bàn 9 tháng năm 2023</t>
  </si>
  <si>
    <t>Thu điều tiết 9 tháng năm 2023</t>
  </si>
  <si>
    <t>BÁO CÁO TÌNH HÌNH THỰC HIỆN CHI NGÂN SÁCH QUÝ III NĂM 2023</t>
  </si>
  <si>
    <t>Thực hiện chi quý 3/2023</t>
  </si>
  <si>
    <t>thực hiện chi 09 tháng năm 2023</t>
  </si>
  <si>
    <t>trong đó:( nếu loại trừ tiền sử dụng đất)</t>
  </si>
  <si>
    <t>QUÝ III NĂM 2023</t>
  </si>
  <si>
    <t>Thực hiện quý III/2023</t>
  </si>
  <si>
    <t>Thực hiện 09 tháng năm 2023</t>
  </si>
  <si>
    <t>Chi khác XDCB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</si>
</sst>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0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"/>
    </font>
    <font>
      <sz val="11"/>
      <color theme="1"/>
      <name val="Times New Roman"/>
      <family val="1"/>
    </font>
    <font>
      <sz val="11"/>
      <color theme="1"/>
      <name val="T"/>
    </font>
    <font>
      <sz val="10"/>
      <name val="Arial"/>
      <family val="2"/>
      <charset val="163"/>
    </font>
    <font>
      <b/>
      <sz val="11"/>
      <name val="Times New Roman"/>
      <family val="1"/>
    </font>
    <font>
      <b/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name val="Cambria"/>
      <family val="1"/>
      <charset val="163"/>
      <scheme val="maj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2"/>
    </font>
    <font>
      <sz val="12"/>
      <name val="Cambria"/>
      <family val="1"/>
      <scheme val="major"/>
    </font>
    <font>
      <b/>
      <sz val="12"/>
      <color rgb="FFFF0000"/>
      <name val="Times New Roman"/>
      <family val="1"/>
    </font>
    <font>
      <b/>
      <sz val="11"/>
      <name val="Cambria"/>
      <family val="1"/>
      <charset val="163"/>
      <scheme val="major"/>
    </font>
    <font>
      <b/>
      <sz val="11"/>
      <name val="Cambria"/>
      <family val="1"/>
      <scheme val="major"/>
    </font>
    <font>
      <b/>
      <u val="singleAccounting"/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dotted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</cellStyleXfs>
  <cellXfs count="265">
    <xf numFmtId="0" fontId="0" fillId="0" borderId="0" xfId="0"/>
    <xf numFmtId="164" fontId="0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9" fontId="5" fillId="0" borderId="1" xfId="2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vertical="center" wrapText="1"/>
    </xf>
    <xf numFmtId="0" fontId="5" fillId="0" borderId="0" xfId="0" applyFont="1" applyAlignment="1">
      <alignment vertical="center"/>
    </xf>
    <xf numFmtId="9" fontId="6" fillId="0" borderId="0" xfId="2" applyFont="1" applyBorder="1" applyAlignment="1">
      <alignment horizontal="center" vertical="center" wrapText="1"/>
    </xf>
    <xf numFmtId="164" fontId="6" fillId="0" borderId="0" xfId="1" applyNumberFormat="1" applyFont="1"/>
    <xf numFmtId="164" fontId="6" fillId="0" borderId="0" xfId="0" applyNumberFormat="1" applyFont="1"/>
    <xf numFmtId="164" fontId="11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3" fontId="0" fillId="0" borderId="0" xfId="0" applyNumberFormat="1"/>
    <xf numFmtId="0" fontId="0" fillId="0" borderId="0" xfId="0" applyFont="1"/>
    <xf numFmtId="0" fontId="16" fillId="0" borderId="7" xfId="0" applyFont="1" applyFill="1" applyBorder="1" applyAlignment="1">
      <alignment vertical="top"/>
    </xf>
    <xf numFmtId="0" fontId="17" fillId="0" borderId="7" xfId="3" applyFont="1" applyFill="1" applyBorder="1" applyAlignment="1">
      <alignment horizontal="left" vertical="top" wrapText="1"/>
    </xf>
    <xf numFmtId="3" fontId="10" fillId="2" borderId="7" xfId="0" applyNumberFormat="1" applyFont="1" applyFill="1" applyBorder="1" applyAlignment="1">
      <alignment vertical="distributed"/>
    </xf>
    <xf numFmtId="9" fontId="15" fillId="0" borderId="1" xfId="2" applyFont="1" applyFill="1" applyBorder="1" applyAlignment="1">
      <alignment vertical="distributed"/>
    </xf>
    <xf numFmtId="3" fontId="0" fillId="0" borderId="0" xfId="0" applyNumberFormat="1" applyFont="1"/>
    <xf numFmtId="0" fontId="16" fillId="2" borderId="1" xfId="0" applyFont="1" applyFill="1" applyBorder="1" applyAlignment="1">
      <alignment vertical="top"/>
    </xf>
    <xf numFmtId="0" fontId="17" fillId="2" borderId="1" xfId="3" applyFont="1" applyFill="1" applyBorder="1" applyAlignment="1">
      <alignment horizontal="left" vertical="top" wrapText="1"/>
    </xf>
    <xf numFmtId="3" fontId="15" fillId="2" borderId="1" xfId="0" applyNumberFormat="1" applyFont="1" applyFill="1" applyBorder="1" applyAlignment="1">
      <alignment vertical="distributed"/>
    </xf>
    <xf numFmtId="0" fontId="0" fillId="2" borderId="0" xfId="0" applyFont="1" applyFill="1"/>
    <xf numFmtId="3" fontId="15" fillId="2" borderId="3" xfId="0" applyNumberFormat="1" applyFont="1" applyFill="1" applyBorder="1" applyAlignment="1">
      <alignment vertical="distributed"/>
    </xf>
    <xf numFmtId="3" fontId="20" fillId="2" borderId="3" xfId="0" applyNumberFormat="1" applyFont="1" applyFill="1" applyBorder="1" applyAlignment="1">
      <alignment horizontal="right" vertical="distributed"/>
    </xf>
    <xf numFmtId="3" fontId="15" fillId="2" borderId="3" xfId="0" applyNumberFormat="1" applyFont="1" applyFill="1" applyBorder="1" applyAlignment="1">
      <alignment horizontal="right" vertical="distributed"/>
    </xf>
    <xf numFmtId="0" fontId="16" fillId="0" borderId="1" xfId="0" applyFont="1" applyFill="1" applyBorder="1" applyAlignment="1">
      <alignment vertical="top"/>
    </xf>
    <xf numFmtId="164" fontId="16" fillId="0" borderId="1" xfId="1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distributed"/>
    </xf>
    <xf numFmtId="3" fontId="20" fillId="2" borderId="1" xfId="0" applyNumberFormat="1" applyFont="1" applyFill="1" applyBorder="1" applyAlignment="1">
      <alignment vertical="distributed"/>
    </xf>
    <xf numFmtId="3" fontId="20" fillId="2" borderId="9" xfId="0" applyNumberFormat="1" applyFont="1" applyFill="1" applyBorder="1" applyAlignment="1">
      <alignment horizontal="right" vertical="distributed"/>
    </xf>
    <xf numFmtId="3" fontId="20" fillId="2" borderId="6" xfId="0" applyNumberFormat="1" applyFont="1" applyFill="1" applyBorder="1" applyAlignment="1">
      <alignment horizontal="right" vertical="distributed"/>
    </xf>
    <xf numFmtId="3" fontId="20" fillId="2" borderId="4" xfId="0" applyNumberFormat="1" applyFont="1" applyFill="1" applyBorder="1" applyAlignment="1">
      <alignment horizontal="right" vertical="distributed"/>
    </xf>
    <xf numFmtId="3" fontId="20" fillId="2" borderId="4" xfId="0" applyNumberFormat="1" applyFont="1" applyFill="1" applyBorder="1" applyAlignment="1">
      <alignment vertical="distributed"/>
    </xf>
    <xf numFmtId="0" fontId="17" fillId="0" borderId="1" xfId="0" applyFont="1" applyFill="1" applyBorder="1" applyAlignment="1">
      <alignment vertical="top"/>
    </xf>
    <xf numFmtId="3" fontId="21" fillId="2" borderId="1" xfId="0" applyNumberFormat="1" applyFont="1" applyFill="1" applyBorder="1" applyAlignment="1">
      <alignment vertical="distributed"/>
    </xf>
    <xf numFmtId="0" fontId="18" fillId="0" borderId="1" xfId="0" applyFont="1" applyFill="1" applyBorder="1" applyAlignment="1">
      <alignment horizontal="center" vertical="top"/>
    </xf>
    <xf numFmtId="3" fontId="20" fillId="2" borderId="1" xfId="0" applyNumberFormat="1" applyFont="1" applyFill="1" applyBorder="1" applyAlignment="1">
      <alignment horizontal="right" vertical="distributed"/>
    </xf>
    <xf numFmtId="3" fontId="15" fillId="0" borderId="1" xfId="0" applyNumberFormat="1" applyFont="1" applyFill="1" applyBorder="1" applyAlignment="1">
      <alignment horizontal="right" vertical="distributed"/>
    </xf>
    <xf numFmtId="0" fontId="17" fillId="0" borderId="1" xfId="0" applyFont="1" applyFill="1" applyBorder="1" applyAlignment="1">
      <alignment horizontal="center" vertical="top"/>
    </xf>
    <xf numFmtId="3" fontId="20" fillId="2" borderId="9" xfId="0" applyNumberFormat="1" applyFont="1" applyFill="1" applyBorder="1" applyAlignment="1">
      <alignment vertical="distributed"/>
    </xf>
    <xf numFmtId="0" fontId="22" fillId="0" borderId="4" xfId="0" applyFont="1" applyFill="1" applyBorder="1" applyAlignment="1">
      <alignment vertical="top"/>
    </xf>
    <xf numFmtId="3" fontId="20" fillId="2" borderId="6" xfId="0" applyNumberFormat="1" applyFont="1" applyFill="1" applyBorder="1" applyAlignment="1">
      <alignment vertical="distributed"/>
    </xf>
    <xf numFmtId="3" fontId="15" fillId="2" borderId="1" xfId="0" applyNumberFormat="1" applyFont="1" applyFill="1" applyBorder="1" applyAlignment="1">
      <alignment horizontal="right" vertical="distributed"/>
    </xf>
    <xf numFmtId="0" fontId="17" fillId="2" borderId="1" xfId="0" applyFont="1" applyFill="1" applyBorder="1" applyAlignment="1">
      <alignment vertical="top"/>
    </xf>
    <xf numFmtId="164" fontId="19" fillId="2" borderId="13" xfId="1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distributed"/>
    </xf>
    <xf numFmtId="3" fontId="15" fillId="0" borderId="13" xfId="0" applyNumberFormat="1" applyFont="1" applyFill="1" applyBorder="1" applyAlignment="1">
      <alignment vertical="distributed"/>
    </xf>
    <xf numFmtId="164" fontId="19" fillId="0" borderId="13" xfId="1" applyNumberFormat="1" applyFont="1" applyFill="1" applyBorder="1" applyAlignment="1">
      <alignment vertical="top"/>
    </xf>
    <xf numFmtId="0" fontId="23" fillId="0" borderId="0" xfId="0" applyFont="1"/>
    <xf numFmtId="0" fontId="24" fillId="0" borderId="0" xfId="0" quotePrefix="1" applyFont="1"/>
    <xf numFmtId="164" fontId="2" fillId="0" borderId="0" xfId="1" applyNumberFormat="1" applyFont="1"/>
    <xf numFmtId="3" fontId="20" fillId="0" borderId="4" xfId="0" applyNumberFormat="1" applyFont="1" applyFill="1" applyBorder="1" applyAlignment="1">
      <alignment vertical="distributed"/>
    </xf>
    <xf numFmtId="0" fontId="2" fillId="0" borderId="0" xfId="0" applyFont="1" applyAlignment="1"/>
    <xf numFmtId="164" fontId="6" fillId="0" borderId="0" xfId="1" applyNumberFormat="1" applyFont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distributed"/>
    </xf>
    <xf numFmtId="164" fontId="9" fillId="0" borderId="0" xfId="1" applyNumberFormat="1" applyFont="1" applyBorder="1" applyAlignment="1">
      <alignment horizontal="center" vertical="center"/>
    </xf>
    <xf numFmtId="0" fontId="6" fillId="0" borderId="0" xfId="0" applyFont="1"/>
    <xf numFmtId="3" fontId="25" fillId="2" borderId="0" xfId="0" applyNumberFormat="1" applyFont="1" applyFill="1"/>
    <xf numFmtId="3" fontId="10" fillId="0" borderId="7" xfId="0" applyNumberFormat="1" applyFont="1" applyFill="1" applyBorder="1" applyAlignment="1">
      <alignment vertical="distributed"/>
    </xf>
    <xf numFmtId="3" fontId="10" fillId="2" borderId="1" xfId="0" applyNumberFormat="1" applyFont="1" applyFill="1" applyBorder="1" applyAlignment="1">
      <alignment vertical="distributed"/>
    </xf>
    <xf numFmtId="164" fontId="0" fillId="0" borderId="0" xfId="0" applyNumberFormat="1" applyFont="1"/>
    <xf numFmtId="9" fontId="15" fillId="0" borderId="6" xfId="2" applyFont="1" applyFill="1" applyBorder="1" applyAlignment="1">
      <alignment vertical="distributed"/>
    </xf>
    <xf numFmtId="164" fontId="18" fillId="0" borderId="4" xfId="1" applyNumberFormat="1" applyFont="1" applyFill="1" applyBorder="1" applyAlignment="1">
      <alignment vertical="top"/>
    </xf>
    <xf numFmtId="9" fontId="15" fillId="0" borderId="4" xfId="2" applyFont="1" applyFill="1" applyBorder="1" applyAlignment="1">
      <alignment vertical="distributed"/>
    </xf>
    <xf numFmtId="3" fontId="10" fillId="0" borderId="1" xfId="0" applyNumberFormat="1" applyFont="1" applyFill="1" applyBorder="1" applyAlignment="1">
      <alignment vertical="distributed"/>
    </xf>
    <xf numFmtId="0" fontId="0" fillId="0" borderId="13" xfId="0" applyFont="1" applyBorder="1"/>
    <xf numFmtId="164" fontId="0" fillId="0" borderId="12" xfId="1" applyNumberFormat="1" applyFont="1" applyBorder="1"/>
    <xf numFmtId="164" fontId="28" fillId="0" borderId="0" xfId="1" applyNumberFormat="1" applyFont="1"/>
    <xf numFmtId="164" fontId="29" fillId="0" borderId="3" xfId="1" applyNumberFormat="1" applyFont="1" applyFill="1" applyBorder="1" applyAlignment="1">
      <alignment vertical="top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6" fillId="3" borderId="14" xfId="1" applyNumberFormat="1" applyFont="1" applyFill="1" applyBorder="1" applyAlignment="1">
      <alignment horizontal="center" vertical="center" wrapText="1"/>
    </xf>
    <xf numFmtId="164" fontId="30" fillId="2" borderId="1" xfId="1" applyNumberFormat="1" applyFont="1" applyFill="1" applyBorder="1" applyAlignment="1">
      <alignment horizontal="center" vertical="center" wrapText="1"/>
    </xf>
    <xf numFmtId="9" fontId="6" fillId="2" borderId="1" xfId="2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164" fontId="6" fillId="0" borderId="1" xfId="1" applyNumberFormat="1" applyFont="1" applyBorder="1" applyAlignment="1">
      <alignment vertical="center" wrapText="1"/>
    </xf>
    <xf numFmtId="164" fontId="19" fillId="2" borderId="7" xfId="1" applyNumberFormat="1" applyFont="1" applyFill="1" applyBorder="1" applyAlignment="1">
      <alignment vertical="top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3" fontId="10" fillId="0" borderId="1" xfId="0" applyNumberFormat="1" applyFont="1" applyFill="1" applyBorder="1" applyAlignment="1">
      <alignment horizontal="right" vertical="distributed"/>
    </xf>
    <xf numFmtId="0" fontId="0" fillId="0" borderId="19" xfId="0" applyBorder="1"/>
    <xf numFmtId="164" fontId="16" fillId="0" borderId="7" xfId="1" applyNumberFormat="1" applyFont="1" applyFill="1" applyBorder="1" applyAlignment="1">
      <alignment vertical="top"/>
    </xf>
    <xf numFmtId="3" fontId="15" fillId="2" borderId="7" xfId="0" applyNumberFormat="1" applyFont="1" applyFill="1" applyBorder="1" applyAlignment="1">
      <alignment vertical="distributed"/>
    </xf>
    <xf numFmtId="9" fontId="10" fillId="0" borderId="5" xfId="2" applyFont="1" applyFill="1" applyBorder="1" applyAlignment="1">
      <alignment vertical="distributed"/>
    </xf>
    <xf numFmtId="0" fontId="0" fillId="0" borderId="20" xfId="0" applyBorder="1"/>
    <xf numFmtId="0" fontId="16" fillId="0" borderId="4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left" vertical="top"/>
    </xf>
    <xf numFmtId="9" fontId="10" fillId="0" borderId="6" xfId="2" applyFont="1" applyFill="1" applyBorder="1" applyAlignment="1">
      <alignment vertical="distributed"/>
    </xf>
    <xf numFmtId="9" fontId="10" fillId="0" borderId="1" xfId="2" applyFont="1" applyFill="1" applyBorder="1" applyAlignment="1">
      <alignment vertical="distributed"/>
    </xf>
    <xf numFmtId="0" fontId="18" fillId="0" borderId="5" xfId="0" applyFont="1" applyFill="1" applyBorder="1" applyAlignment="1">
      <alignment horizontal="left" vertical="top"/>
    </xf>
    <xf numFmtId="3" fontId="20" fillId="0" borderId="5" xfId="0" applyNumberFormat="1" applyFont="1" applyFill="1" applyBorder="1" applyAlignment="1">
      <alignment vertical="distributed"/>
    </xf>
    <xf numFmtId="3" fontId="20" fillId="2" borderId="5" xfId="0" applyNumberFormat="1" applyFont="1" applyFill="1" applyBorder="1" applyAlignment="1">
      <alignment vertical="distributed"/>
    </xf>
    <xf numFmtId="0" fontId="17" fillId="2" borderId="6" xfId="0" applyFont="1" applyFill="1" applyBorder="1" applyAlignment="1">
      <alignment vertical="top"/>
    </xf>
    <xf numFmtId="3" fontId="15" fillId="2" borderId="6" xfId="0" applyNumberFormat="1" applyFont="1" applyFill="1" applyBorder="1" applyAlignment="1">
      <alignment vertical="distributed"/>
    </xf>
    <xf numFmtId="0" fontId="15" fillId="2" borderId="1" xfId="0" applyFont="1" applyFill="1" applyBorder="1" applyAlignment="1">
      <alignment wrapText="1"/>
    </xf>
    <xf numFmtId="164" fontId="15" fillId="2" borderId="1" xfId="1" applyNumberFormat="1" applyFont="1" applyFill="1" applyBorder="1"/>
    <xf numFmtId="0" fontId="17" fillId="2" borderId="5" xfId="0" applyFont="1" applyFill="1" applyBorder="1" applyAlignment="1">
      <alignment vertical="top"/>
    </xf>
    <xf numFmtId="164" fontId="18" fillId="0" borderId="5" xfId="1" applyNumberFormat="1" applyFont="1" applyFill="1" applyBorder="1" applyAlignment="1">
      <alignment vertical="top"/>
    </xf>
    <xf numFmtId="3" fontId="15" fillId="2" borderId="5" xfId="0" applyNumberFormat="1" applyFont="1" applyFill="1" applyBorder="1" applyAlignment="1">
      <alignment vertical="distributed"/>
    </xf>
    <xf numFmtId="9" fontId="15" fillId="0" borderId="5" xfId="2" applyFont="1" applyFill="1" applyBorder="1" applyAlignment="1">
      <alignment vertical="distributed"/>
    </xf>
    <xf numFmtId="0" fontId="16" fillId="0" borderId="6" xfId="0" applyFont="1" applyFill="1" applyBorder="1" applyAlignment="1">
      <alignment vertical="top"/>
    </xf>
    <xf numFmtId="3" fontId="15" fillId="0" borderId="6" xfId="0" applyNumberFormat="1" applyFont="1" applyFill="1" applyBorder="1" applyAlignment="1">
      <alignment vertical="distributed"/>
    </xf>
    <xf numFmtId="164" fontId="19" fillId="0" borderId="5" xfId="1" applyNumberFormat="1" applyFont="1" applyFill="1" applyBorder="1" applyAlignment="1">
      <alignment vertical="top"/>
    </xf>
    <xf numFmtId="0" fontId="16" fillId="0" borderId="5" xfId="0" applyFont="1" applyFill="1" applyBorder="1" applyAlignment="1">
      <alignment horizontal="center" vertical="top"/>
    </xf>
    <xf numFmtId="3" fontId="15" fillId="2" borderId="5" xfId="0" applyNumberFormat="1" applyFont="1" applyFill="1" applyBorder="1" applyAlignment="1">
      <alignment horizontal="right" vertical="distributed"/>
    </xf>
    <xf numFmtId="0" fontId="18" fillId="0" borderId="6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vertical="distributed"/>
    </xf>
    <xf numFmtId="9" fontId="6" fillId="0" borderId="1" xfId="2" applyFont="1" applyFill="1" applyBorder="1" applyAlignment="1">
      <alignment vertical="distributed"/>
    </xf>
    <xf numFmtId="9" fontId="15" fillId="0" borderId="3" xfId="2" applyFont="1" applyFill="1" applyBorder="1" applyAlignment="1">
      <alignment vertical="distributed"/>
    </xf>
    <xf numFmtId="3" fontId="20" fillId="0" borderId="8" xfId="0" applyNumberFormat="1" applyFont="1" applyFill="1" applyBorder="1" applyAlignment="1">
      <alignment vertical="distributed"/>
    </xf>
    <xf numFmtId="3" fontId="25" fillId="2" borderId="20" xfId="0" applyNumberFormat="1" applyFont="1" applyFill="1" applyBorder="1"/>
    <xf numFmtId="164" fontId="0" fillId="0" borderId="0" xfId="1" applyNumberFormat="1" applyFont="1" applyBorder="1"/>
    <xf numFmtId="0" fontId="16" fillId="0" borderId="6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vertical="top"/>
    </xf>
    <xf numFmtId="164" fontId="31" fillId="0" borderId="1" xfId="1" applyNumberFormat="1" applyFont="1" applyFill="1" applyBorder="1" applyAlignment="1">
      <alignment vertical="top"/>
    </xf>
    <xf numFmtId="0" fontId="19" fillId="0" borderId="6" xfId="0" applyFont="1" applyFill="1" applyBorder="1" applyAlignment="1">
      <alignment vertical="top"/>
    </xf>
    <xf numFmtId="164" fontId="19" fillId="0" borderId="6" xfId="1" applyNumberFormat="1" applyFont="1" applyFill="1" applyBorder="1" applyAlignment="1">
      <alignment vertical="top"/>
    </xf>
    <xf numFmtId="0" fontId="19" fillId="0" borderId="4" xfId="0" applyFont="1" applyFill="1" applyBorder="1" applyAlignment="1">
      <alignment vertical="top"/>
    </xf>
    <xf numFmtId="164" fontId="19" fillId="0" borderId="4" xfId="1" applyNumberFormat="1" applyFont="1" applyFill="1" applyBorder="1" applyAlignment="1">
      <alignment vertical="top"/>
    </xf>
    <xf numFmtId="0" fontId="29" fillId="0" borderId="4" xfId="0" applyFont="1" applyFill="1" applyBorder="1" applyAlignment="1">
      <alignment vertical="top"/>
    </xf>
    <xf numFmtId="0" fontId="31" fillId="0" borderId="5" xfId="0" applyFont="1" applyFill="1" applyBorder="1" applyAlignment="1">
      <alignment vertical="top"/>
    </xf>
    <xf numFmtId="164" fontId="32" fillId="0" borderId="5" xfId="1" applyNumberFormat="1" applyFont="1" applyFill="1" applyBorder="1" applyAlignment="1">
      <alignment vertical="top"/>
    </xf>
    <xf numFmtId="164" fontId="22" fillId="0" borderId="4" xfId="1" applyNumberFormat="1" applyFont="1" applyFill="1" applyBorder="1" applyAlignment="1">
      <alignment vertical="top"/>
    </xf>
    <xf numFmtId="3" fontId="20" fillId="2" borderId="11" xfId="0" applyNumberFormat="1" applyFont="1" applyFill="1" applyBorder="1" applyAlignment="1">
      <alignment vertical="distributed"/>
    </xf>
    <xf numFmtId="0" fontId="22" fillId="0" borderId="5" xfId="0" applyFont="1" applyFill="1" applyBorder="1" applyAlignment="1">
      <alignment vertical="top"/>
    </xf>
    <xf numFmtId="164" fontId="22" fillId="0" borderId="5" xfId="1" applyNumberFormat="1" applyFont="1" applyFill="1" applyBorder="1" applyAlignment="1">
      <alignment vertical="top"/>
    </xf>
    <xf numFmtId="0" fontId="32" fillId="0" borderId="1" xfId="0" applyFont="1" applyFill="1" applyBorder="1" applyAlignment="1">
      <alignment vertical="top"/>
    </xf>
    <xf numFmtId="164" fontId="32" fillId="0" borderId="1" xfId="1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164" fontId="32" fillId="0" borderId="6" xfId="1" applyNumberFormat="1" applyFont="1" applyFill="1" applyBorder="1" applyAlignment="1">
      <alignment vertical="top"/>
    </xf>
    <xf numFmtId="164" fontId="32" fillId="0" borderId="4" xfId="1" applyNumberFormat="1" applyFont="1" applyFill="1" applyBorder="1" applyAlignment="1">
      <alignment vertical="top"/>
    </xf>
    <xf numFmtId="0" fontId="32" fillId="0" borderId="1" xfId="3" applyFont="1" applyFill="1" applyBorder="1" applyAlignment="1">
      <alignment horizontal="left" vertical="top" wrapText="1"/>
    </xf>
    <xf numFmtId="3" fontId="20" fillId="0" borderId="1" xfId="0" applyNumberFormat="1" applyFont="1" applyFill="1" applyBorder="1" applyAlignment="1">
      <alignment vertical="distributed"/>
    </xf>
    <xf numFmtId="0" fontId="32" fillId="0" borderId="6" xfId="0" applyFont="1" applyFill="1" applyBorder="1" applyAlignment="1">
      <alignment vertical="top"/>
    </xf>
    <xf numFmtId="0" fontId="1" fillId="0" borderId="0" xfId="0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33" fillId="0" borderId="1" xfId="1" applyNumberFormat="1" applyFont="1" applyBorder="1" applyAlignment="1">
      <alignment horizontal="center"/>
    </xf>
    <xf numFmtId="9" fontId="33" fillId="0" borderId="1" xfId="2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0" borderId="5" xfId="0" applyFont="1" applyBorder="1"/>
    <xf numFmtId="164" fontId="6" fillId="0" borderId="5" xfId="1" applyNumberFormat="1" applyFont="1" applyBorder="1"/>
    <xf numFmtId="9" fontId="5" fillId="0" borderId="5" xfId="2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9" fillId="0" borderId="1" xfId="0" applyFont="1" applyBorder="1"/>
    <xf numFmtId="164" fontId="9" fillId="0" borderId="1" xfId="1" applyNumberFormat="1" applyFont="1" applyBorder="1"/>
    <xf numFmtId="0" fontId="5" fillId="0" borderId="6" xfId="0" quotePrefix="1" applyFont="1" applyBorder="1" applyAlignment="1">
      <alignment horizontal="center"/>
    </xf>
    <xf numFmtId="0" fontId="5" fillId="0" borderId="6" xfId="0" applyFont="1" applyBorder="1"/>
    <xf numFmtId="164" fontId="5" fillId="0" borderId="6" xfId="1" applyNumberFormat="1" applyFont="1" applyBorder="1"/>
    <xf numFmtId="164" fontId="5" fillId="0" borderId="5" xfId="1" applyNumberFormat="1" applyFont="1" applyBorder="1"/>
    <xf numFmtId="9" fontId="5" fillId="0" borderId="7" xfId="2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applyFont="1" applyBorder="1"/>
    <xf numFmtId="164" fontId="5" fillId="0" borderId="4" xfId="1" applyNumberFormat="1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33" fillId="0" borderId="1" xfId="1" applyNumberFormat="1" applyFont="1" applyBorder="1"/>
    <xf numFmtId="10" fontId="34" fillId="0" borderId="1" xfId="2" applyNumberFormat="1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64" fontId="6" fillId="0" borderId="7" xfId="1" applyNumberFormat="1" applyFont="1" applyBorder="1"/>
    <xf numFmtId="9" fontId="6" fillId="0" borderId="7" xfId="2" applyFont="1" applyBorder="1" applyAlignment="1">
      <alignment horizontal="center"/>
    </xf>
    <xf numFmtId="164" fontId="6" fillId="0" borderId="1" xfId="1" applyNumberFormat="1" applyFont="1" applyBorder="1"/>
    <xf numFmtId="9" fontId="5" fillId="0" borderId="1" xfId="2" applyFont="1" applyBorder="1" applyAlignment="1">
      <alignment horizontal="center"/>
    </xf>
    <xf numFmtId="9" fontId="5" fillId="0" borderId="6" xfId="2" applyFont="1" applyBorder="1" applyAlignment="1">
      <alignment horizontal="center"/>
    </xf>
    <xf numFmtId="0" fontId="5" fillId="0" borderId="4" xfId="0" applyFont="1" applyBorder="1"/>
    <xf numFmtId="9" fontId="5" fillId="0" borderId="4" xfId="2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164" fontId="5" fillId="0" borderId="1" xfId="1" applyNumberFormat="1" applyFont="1" applyBorder="1"/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3" xfId="0" applyFont="1" applyBorder="1"/>
    <xf numFmtId="164" fontId="5" fillId="0" borderId="3" xfId="1" applyNumberFormat="1" applyFont="1" applyBorder="1"/>
    <xf numFmtId="0" fontId="2" fillId="0" borderId="3" xfId="0" applyFont="1" applyBorder="1"/>
    <xf numFmtId="0" fontId="1" fillId="0" borderId="3" xfId="0" applyFont="1" applyBorder="1"/>
    <xf numFmtId="9" fontId="34" fillId="0" borderId="1" xfId="2" applyNumberFormat="1" applyFont="1" applyBorder="1" applyAlignment="1">
      <alignment horizontal="center"/>
    </xf>
    <xf numFmtId="164" fontId="35" fillId="0" borderId="1" xfId="1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9" fontId="0" fillId="0" borderId="18" xfId="2" applyFont="1" applyBorder="1"/>
    <xf numFmtId="9" fontId="0" fillId="0" borderId="17" xfId="2" applyFont="1" applyBorder="1"/>
    <xf numFmtId="9" fontId="15" fillId="0" borderId="13" xfId="2" applyFont="1" applyFill="1" applyBorder="1" applyAlignment="1">
      <alignment vertical="distributed"/>
    </xf>
    <xf numFmtId="9" fontId="6" fillId="0" borderId="13" xfId="2" applyFont="1" applyFill="1" applyBorder="1" applyAlignment="1">
      <alignment vertical="distributed"/>
    </xf>
    <xf numFmtId="9" fontId="15" fillId="0" borderId="13" xfId="2" applyFont="1" applyFill="1" applyBorder="1" applyAlignment="1">
      <alignment horizontal="right" vertical="distributed"/>
    </xf>
    <xf numFmtId="9" fontId="10" fillId="0" borderId="13" xfId="2" applyFont="1" applyFill="1" applyBorder="1" applyAlignment="1">
      <alignment horizontal="right" vertical="distributed"/>
    </xf>
    <xf numFmtId="9" fontId="6" fillId="0" borderId="10" xfId="2" applyFont="1" applyFill="1" applyBorder="1" applyAlignment="1">
      <alignment vertical="distributed"/>
    </xf>
    <xf numFmtId="9" fontId="6" fillId="0" borderId="8" xfId="2" applyFont="1" applyFill="1" applyBorder="1" applyAlignment="1">
      <alignment vertical="distributed"/>
    </xf>
    <xf numFmtId="3" fontId="15" fillId="0" borderId="7" xfId="0" applyNumberFormat="1" applyFont="1" applyFill="1" applyBorder="1" applyAlignment="1">
      <alignment vertical="distributed"/>
    </xf>
    <xf numFmtId="9" fontId="15" fillId="0" borderId="7" xfId="2" applyFont="1" applyFill="1" applyBorder="1" applyAlignment="1">
      <alignment vertical="distributed"/>
    </xf>
    <xf numFmtId="9" fontId="15" fillId="0" borderId="8" xfId="2" applyFont="1" applyFill="1" applyBorder="1" applyAlignment="1">
      <alignment vertical="distributed"/>
    </xf>
    <xf numFmtId="9" fontId="15" fillId="0" borderId="10" xfId="2" applyFont="1" applyFill="1" applyBorder="1" applyAlignment="1">
      <alignment vertical="distributed"/>
    </xf>
    <xf numFmtId="164" fontId="37" fillId="0" borderId="1" xfId="1" applyNumberFormat="1" applyFont="1" applyBorder="1" applyAlignment="1">
      <alignment horizontal="center" vertical="center" wrapText="1"/>
    </xf>
    <xf numFmtId="164" fontId="38" fillId="0" borderId="0" xfId="1" applyNumberFormat="1" applyFont="1"/>
    <xf numFmtId="9" fontId="5" fillId="0" borderId="21" xfId="2" applyFont="1" applyBorder="1" applyAlignment="1">
      <alignment horizontal="center"/>
    </xf>
    <xf numFmtId="9" fontId="5" fillId="0" borderId="22" xfId="2" applyFont="1" applyBorder="1" applyAlignment="1">
      <alignment horizontal="center"/>
    </xf>
    <xf numFmtId="9" fontId="5" fillId="2" borderId="5" xfId="2" applyFont="1" applyFill="1" applyBorder="1" applyAlignment="1">
      <alignment horizontal="center"/>
    </xf>
    <xf numFmtId="3" fontId="39" fillId="0" borderId="7" xfId="0" applyNumberFormat="1" applyFont="1" applyFill="1" applyBorder="1" applyAlignment="1">
      <alignment vertical="distributed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vertical="center" wrapText="1"/>
    </xf>
    <xf numFmtId="164" fontId="6" fillId="2" borderId="15" xfId="1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10" fillId="0" borderId="13" xfId="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0" fillId="0" borderId="2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9" fontId="15" fillId="2" borderId="2" xfId="2" applyFont="1" applyFill="1" applyBorder="1" applyAlignment="1">
      <alignment horizontal="center" vertical="center" wrapText="1"/>
    </xf>
    <xf numFmtId="9" fontId="15" fillId="2" borderId="3" xfId="2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1"/>
  <sheetViews>
    <sheetView workbookViewId="0">
      <selection activeCell="B3" sqref="B3"/>
    </sheetView>
  </sheetViews>
  <sheetFormatPr defaultRowHeight="15.75"/>
  <cols>
    <col min="1" max="1" width="7.25" style="20" customWidth="1"/>
    <col min="2" max="2" width="57.25" style="20" customWidth="1"/>
    <col min="3" max="3" width="22.5" style="76" customWidth="1"/>
    <col min="4" max="4" width="21.25" style="76" customWidth="1"/>
    <col min="5" max="5" width="10.375" style="58" customWidth="1"/>
    <col min="6" max="6" width="10.25" style="3" customWidth="1"/>
    <col min="7" max="7" width="19.25" style="20" customWidth="1"/>
    <col min="8" max="8" width="11.875" style="20" customWidth="1"/>
    <col min="9" max="9" width="14" style="20" customWidth="1"/>
    <col min="10" max="16384" width="9" style="20"/>
  </cols>
  <sheetData>
    <row r="1" spans="1:12" ht="16.5" customHeight="1">
      <c r="A1" s="218" t="s">
        <v>28</v>
      </c>
      <c r="B1" s="218"/>
      <c r="C1" s="219" t="s">
        <v>12</v>
      </c>
      <c r="D1" s="219"/>
      <c r="E1" s="219"/>
      <c r="F1" s="219"/>
    </row>
    <row r="2" spans="1:12">
      <c r="A2" s="220" t="s">
        <v>29</v>
      </c>
      <c r="B2" s="220"/>
      <c r="C2" s="219" t="s">
        <v>13</v>
      </c>
      <c r="D2" s="219"/>
      <c r="E2" s="219"/>
      <c r="F2" s="219"/>
    </row>
    <row r="3" spans="1:12" ht="19.5" customHeight="1">
      <c r="A3" s="81"/>
      <c r="B3" s="81"/>
    </row>
    <row r="4" spans="1:12" ht="20.25" customHeight="1"/>
    <row r="5" spans="1:12" ht="21.75" customHeight="1">
      <c r="A5" s="219" t="s">
        <v>14</v>
      </c>
      <c r="B5" s="219"/>
      <c r="C5" s="219"/>
      <c r="D5" s="219"/>
      <c r="E5" s="219"/>
      <c r="F5" s="219"/>
      <c r="G5" s="219"/>
      <c r="H5" s="219"/>
      <c r="I5" s="219"/>
      <c r="J5" s="148"/>
      <c r="K5" s="148"/>
      <c r="L5" s="148"/>
    </row>
    <row r="6" spans="1:12" ht="21" customHeight="1">
      <c r="A6" s="219" t="s">
        <v>175</v>
      </c>
      <c r="B6" s="219"/>
      <c r="C6" s="219"/>
      <c r="D6" s="219"/>
      <c r="E6" s="219"/>
      <c r="F6" s="219"/>
      <c r="G6" s="219"/>
      <c r="H6" s="219"/>
      <c r="I6" s="219"/>
    </row>
    <row r="7" spans="1:12" ht="15" customHeight="1">
      <c r="G7" s="60"/>
    </row>
    <row r="8" spans="1:12">
      <c r="H8" s="213" t="s">
        <v>122</v>
      </c>
    </row>
    <row r="9" spans="1:12" s="149" customFormat="1" ht="40.5" customHeight="1">
      <c r="A9" s="225" t="s">
        <v>0</v>
      </c>
      <c r="B9" s="225" t="s">
        <v>3</v>
      </c>
      <c r="C9" s="221" t="s">
        <v>118</v>
      </c>
      <c r="D9" s="228" t="s">
        <v>176</v>
      </c>
      <c r="E9" s="223" t="s">
        <v>119</v>
      </c>
      <c r="F9" s="224"/>
      <c r="G9" s="221" t="s">
        <v>177</v>
      </c>
      <c r="H9" s="223" t="s">
        <v>119</v>
      </c>
      <c r="I9" s="224"/>
    </row>
    <row r="10" spans="1:12" s="149" customFormat="1" ht="50.25" customHeight="1">
      <c r="A10" s="226"/>
      <c r="B10" s="226"/>
      <c r="C10" s="227"/>
      <c r="D10" s="229"/>
      <c r="E10" s="79" t="s">
        <v>120</v>
      </c>
      <c r="F10" s="150" t="s">
        <v>121</v>
      </c>
      <c r="G10" s="222"/>
      <c r="H10" s="79" t="s">
        <v>120</v>
      </c>
      <c r="I10" s="150" t="s">
        <v>121</v>
      </c>
    </row>
    <row r="11" spans="1:12" s="149" customFormat="1" ht="23.25" customHeight="1">
      <c r="A11" s="151" t="s">
        <v>1</v>
      </c>
      <c r="B11" s="151" t="s">
        <v>2</v>
      </c>
      <c r="C11" s="152">
        <v>1</v>
      </c>
      <c r="D11" s="152">
        <v>2</v>
      </c>
      <c r="E11" s="153" t="s">
        <v>4</v>
      </c>
      <c r="F11" s="153">
        <v>4</v>
      </c>
      <c r="G11" s="152">
        <v>2</v>
      </c>
      <c r="H11" s="153" t="s">
        <v>4</v>
      </c>
      <c r="I11" s="153">
        <v>4</v>
      </c>
    </row>
    <row r="12" spans="1:12" s="149" customFormat="1" ht="20.25">
      <c r="A12" s="154" t="s">
        <v>1</v>
      </c>
      <c r="B12" s="155" t="s">
        <v>41</v>
      </c>
      <c r="C12" s="156">
        <f>C13+C18+C19</f>
        <v>3041582000000</v>
      </c>
      <c r="D12" s="156">
        <f>D13+D18+D19</f>
        <v>995434749771</v>
      </c>
      <c r="E12" s="157">
        <f>D12/C12*100%</f>
        <v>0.32727532901332268</v>
      </c>
      <c r="F12" s="157">
        <f>D12/862338995537</f>
        <v>1.1543427293939292</v>
      </c>
      <c r="G12" s="156">
        <f>G13+G18+G19</f>
        <v>3016068790585</v>
      </c>
      <c r="H12" s="157">
        <v>0.72</v>
      </c>
      <c r="I12" s="157">
        <f>G12/2556784460968</f>
        <v>1.1796335735876284</v>
      </c>
    </row>
    <row r="13" spans="1:12" s="149" customFormat="1">
      <c r="A13" s="158" t="s">
        <v>5</v>
      </c>
      <c r="B13" s="159" t="s">
        <v>34</v>
      </c>
      <c r="C13" s="160">
        <f>SUM(C15:C16)</f>
        <v>2022000000000</v>
      </c>
      <c r="D13" s="160">
        <f>SUM(D15:D16)</f>
        <v>791195749771</v>
      </c>
      <c r="E13" s="161">
        <f t="shared" ref="E13:E32" si="0">D13/C13*100%</f>
        <v>0.39129364479277945</v>
      </c>
      <c r="F13" s="161">
        <f>D13/463186995537</f>
        <v>1.708156225011715</v>
      </c>
      <c r="G13" s="160">
        <f>SUM(G15:G16)</f>
        <v>2361544790585</v>
      </c>
      <c r="H13" s="161">
        <v>0.73</v>
      </c>
      <c r="I13" s="161">
        <f>G13/1717701460968</f>
        <v>1.3748284228937933</v>
      </c>
    </row>
    <row r="14" spans="1:12" s="149" customFormat="1">
      <c r="A14" s="162"/>
      <c r="B14" s="163" t="s">
        <v>46</v>
      </c>
      <c r="C14" s="164">
        <f>C15-270000000000</f>
        <v>1752000000000</v>
      </c>
      <c r="D14" s="164">
        <f>D13-135791981671</f>
        <v>655403768100</v>
      </c>
      <c r="E14" s="161">
        <f t="shared" si="0"/>
        <v>0.3740889087328767</v>
      </c>
      <c r="F14" s="214">
        <f>D14/351581204248</f>
        <v>1.8641604277505353</v>
      </c>
      <c r="G14" s="164">
        <f>G13-167872232569</f>
        <v>2193672558016</v>
      </c>
      <c r="H14" s="161">
        <v>0</v>
      </c>
      <c r="I14" s="214">
        <f>G14/1298651647326</f>
        <v>1.6891924501331059</v>
      </c>
    </row>
    <row r="15" spans="1:12" s="149" customFormat="1">
      <c r="A15" s="165">
        <v>1</v>
      </c>
      <c r="B15" s="166" t="s">
        <v>35</v>
      </c>
      <c r="C15" s="167">
        <v>2022000000000</v>
      </c>
      <c r="D15" s="168">
        <v>791195749771</v>
      </c>
      <c r="E15" s="161">
        <f t="shared" si="0"/>
        <v>0.39129364479277945</v>
      </c>
      <c r="F15" s="169">
        <f>D15/463186995537</f>
        <v>1.708156225011715</v>
      </c>
      <c r="G15" s="188">
        <v>2361544790585</v>
      </c>
      <c r="H15" s="161">
        <v>0.73</v>
      </c>
      <c r="I15" s="215">
        <f>G15/1717701460968</f>
        <v>1.3748284228937933</v>
      </c>
    </row>
    <row r="16" spans="1:12" s="149" customFormat="1">
      <c r="A16" s="170">
        <v>2</v>
      </c>
      <c r="B16" s="171" t="s">
        <v>17</v>
      </c>
      <c r="C16" s="168">
        <v>0</v>
      </c>
      <c r="D16" s="172"/>
      <c r="E16" s="161"/>
      <c r="F16" s="161"/>
      <c r="G16" s="172"/>
      <c r="H16" s="161"/>
      <c r="I16" s="161"/>
    </row>
    <row r="17" spans="1:9" s="149" customFormat="1">
      <c r="A17" s="173">
        <v>3</v>
      </c>
      <c r="B17" s="171" t="s">
        <v>27</v>
      </c>
      <c r="C17" s="168">
        <v>0</v>
      </c>
      <c r="D17" s="168"/>
      <c r="E17" s="161"/>
      <c r="F17" s="161"/>
      <c r="G17" s="168"/>
      <c r="H17" s="161"/>
      <c r="I17" s="161"/>
    </row>
    <row r="18" spans="1:9" s="149" customFormat="1">
      <c r="A18" s="173">
        <v>4</v>
      </c>
      <c r="B18" s="171" t="s">
        <v>22</v>
      </c>
      <c r="C18" s="168">
        <v>990703000000</v>
      </c>
      <c r="D18" s="168">
        <v>204239000000</v>
      </c>
      <c r="E18" s="161">
        <v>0.21</v>
      </c>
      <c r="F18" s="161">
        <f>D18/399152000000</f>
        <v>0.5116822664047781</v>
      </c>
      <c r="G18" s="168">
        <v>654524000000</v>
      </c>
      <c r="H18" s="161">
        <v>0.66</v>
      </c>
      <c r="I18" s="216">
        <f>G18/839083000000</f>
        <v>0.78004678917341908</v>
      </c>
    </row>
    <row r="19" spans="1:9" s="149" customFormat="1">
      <c r="A19" s="173">
        <v>5</v>
      </c>
      <c r="B19" s="171" t="s">
        <v>37</v>
      </c>
      <c r="C19" s="168">
        <v>28879000000</v>
      </c>
      <c r="D19" s="168">
        <v>0</v>
      </c>
      <c r="E19" s="161"/>
      <c r="F19" s="161"/>
      <c r="G19" s="168">
        <v>0</v>
      </c>
      <c r="H19" s="161"/>
      <c r="I19" s="161"/>
    </row>
    <row r="20" spans="1:9" s="149" customFormat="1">
      <c r="A20" s="174" t="s">
        <v>8</v>
      </c>
      <c r="B20" s="159" t="s">
        <v>38</v>
      </c>
      <c r="C20" s="168"/>
      <c r="D20" s="168"/>
      <c r="E20" s="161"/>
      <c r="F20" s="161"/>
      <c r="G20" s="168"/>
      <c r="H20" s="161"/>
      <c r="I20" s="161"/>
    </row>
    <row r="21" spans="1:9" s="149" customFormat="1" ht="20.25">
      <c r="A21" s="154" t="s">
        <v>2</v>
      </c>
      <c r="B21" s="155" t="s">
        <v>39</v>
      </c>
      <c r="C21" s="175">
        <f>C22+C38</f>
        <v>3466481000000</v>
      </c>
      <c r="D21" s="175">
        <f>D22+D38+D39</f>
        <v>693994329900</v>
      </c>
      <c r="E21" s="176">
        <f t="shared" si="0"/>
        <v>0.2002013944112199</v>
      </c>
      <c r="F21" s="177">
        <f>D21/1479154149849</f>
        <v>0.46918323554772617</v>
      </c>
      <c r="G21" s="175">
        <f>G22+G38+G39</f>
        <v>1803381359615</v>
      </c>
      <c r="H21" s="197">
        <v>0.52</v>
      </c>
      <c r="I21" s="177">
        <f>G21/3086201537561</f>
        <v>0.58433687420174041</v>
      </c>
    </row>
    <row r="22" spans="1:9" s="149" customFormat="1">
      <c r="A22" s="178" t="s">
        <v>5</v>
      </c>
      <c r="B22" s="179" t="s">
        <v>18</v>
      </c>
      <c r="C22" s="180">
        <f>C23+C30+C33+C36+C37</f>
        <v>3466481000000</v>
      </c>
      <c r="D22" s="180">
        <f>D23+D30+D37</f>
        <v>660195714291</v>
      </c>
      <c r="E22" s="181">
        <f t="shared" si="0"/>
        <v>0.19045127156069802</v>
      </c>
      <c r="F22" s="169">
        <f>D22/1113869314380</f>
        <v>0.59270482252083312</v>
      </c>
      <c r="G22" s="180">
        <f>G23+G30+G37</f>
        <v>1657524714291</v>
      </c>
      <c r="H22" s="181">
        <v>0.48</v>
      </c>
      <c r="I22" s="169">
        <f>G22/2292766540818</f>
        <v>0.72293654185115508</v>
      </c>
    </row>
    <row r="23" spans="1:9" s="149" customFormat="1">
      <c r="A23" s="154">
        <v>1</v>
      </c>
      <c r="B23" s="155" t="s">
        <v>6</v>
      </c>
      <c r="C23" s="182">
        <f>SUM(C25:C28)</f>
        <v>855441000000</v>
      </c>
      <c r="D23" s="182">
        <f>D24+D29</f>
        <v>122741261476</v>
      </c>
      <c r="E23" s="183">
        <v>0.14000000000000001</v>
      </c>
      <c r="F23" s="183">
        <f>D23/162510571234</f>
        <v>0.75528170594677246</v>
      </c>
      <c r="G23" s="182">
        <f>G24+G29</f>
        <v>266238261476</v>
      </c>
      <c r="H23" s="183">
        <v>0.31</v>
      </c>
      <c r="I23" s="183">
        <f>G23/468210000000</f>
        <v>0.5686300195980436</v>
      </c>
    </row>
    <row r="24" spans="1:9" s="149" customFormat="1" ht="21" customHeight="1">
      <c r="A24" s="154" t="s">
        <v>15</v>
      </c>
      <c r="B24" s="155" t="s">
        <v>43</v>
      </c>
      <c r="C24" s="182">
        <f>SUM(C25:C28)</f>
        <v>855441000000</v>
      </c>
      <c r="D24" s="182">
        <f>SUM(D25:D28)</f>
        <v>121484000000</v>
      </c>
      <c r="E24" s="183">
        <v>0.14000000000000001</v>
      </c>
      <c r="F24" s="183">
        <f>D24/162510571234</f>
        <v>0.74754521553600606</v>
      </c>
      <c r="G24" s="182">
        <f>SUM(G25:G28)</f>
        <v>262156000000</v>
      </c>
      <c r="H24" s="177">
        <v>0.31</v>
      </c>
      <c r="I24" s="183">
        <f>G24/468210000000</f>
        <v>0.55991115097926147</v>
      </c>
    </row>
    <row r="25" spans="1:9" s="149" customFormat="1">
      <c r="A25" s="165" t="s">
        <v>42</v>
      </c>
      <c r="B25" s="166" t="s">
        <v>30</v>
      </c>
      <c r="C25" s="77">
        <v>239257000000</v>
      </c>
      <c r="D25" s="167">
        <v>3283000000</v>
      </c>
      <c r="E25" s="184">
        <v>0.01</v>
      </c>
      <c r="F25" s="184">
        <f>D25/12577629678</f>
        <v>0.26101897448470895</v>
      </c>
      <c r="G25" s="167">
        <v>43422000000</v>
      </c>
      <c r="H25" s="184">
        <v>0.18</v>
      </c>
      <c r="I25" s="184">
        <f>G25/123093000000</f>
        <v>0.35275767102922179</v>
      </c>
    </row>
    <row r="26" spans="1:9" s="149" customFormat="1">
      <c r="A26" s="170" t="s">
        <v>42</v>
      </c>
      <c r="B26" s="185" t="s">
        <v>31</v>
      </c>
      <c r="C26" s="77">
        <v>284554000000</v>
      </c>
      <c r="D26" s="167">
        <v>35593000000</v>
      </c>
      <c r="E26" s="186">
        <v>0.13</v>
      </c>
      <c r="F26" s="186">
        <f>D26/130767888723</f>
        <v>0.27218455805610753</v>
      </c>
      <c r="G26" s="167">
        <v>67258000000</v>
      </c>
      <c r="H26" s="186">
        <v>0.24</v>
      </c>
      <c r="I26" s="186">
        <f>G26/286139000000</f>
        <v>0.2350535928342519</v>
      </c>
    </row>
    <row r="27" spans="1:9" s="149" customFormat="1">
      <c r="A27" s="170" t="s">
        <v>42</v>
      </c>
      <c r="B27" s="185" t="s">
        <v>32</v>
      </c>
      <c r="C27" s="77">
        <v>93943000000</v>
      </c>
      <c r="D27" s="167">
        <v>11369000000</v>
      </c>
      <c r="E27" s="186">
        <v>0.12</v>
      </c>
      <c r="F27" s="186">
        <f>D27/19165052833</f>
        <v>0.59321516611860836</v>
      </c>
      <c r="G27" s="167">
        <v>19748000000</v>
      </c>
      <c r="H27" s="186">
        <v>0.21</v>
      </c>
      <c r="I27" s="186">
        <f>G27/58978000000</f>
        <v>0.3348367187764929</v>
      </c>
    </row>
    <row r="28" spans="1:9" s="149" customFormat="1">
      <c r="A28" s="187" t="s">
        <v>42</v>
      </c>
      <c r="B28" s="185" t="s">
        <v>165</v>
      </c>
      <c r="C28" s="77">
        <v>237687000000</v>
      </c>
      <c r="D28" s="168">
        <v>71239000000</v>
      </c>
      <c r="E28" s="161">
        <v>0.3</v>
      </c>
      <c r="F28" s="161"/>
      <c r="G28" s="168">
        <v>131728000000</v>
      </c>
      <c r="H28" s="161">
        <v>0.55000000000000004</v>
      </c>
      <c r="I28" s="161"/>
    </row>
    <row r="29" spans="1:9" s="149" customFormat="1" ht="21" customHeight="1">
      <c r="A29" s="154" t="s">
        <v>16</v>
      </c>
      <c r="B29" s="155" t="s">
        <v>44</v>
      </c>
      <c r="C29" s="188">
        <v>0</v>
      </c>
      <c r="D29" s="182">
        <v>1257261476</v>
      </c>
      <c r="E29" s="183"/>
      <c r="F29" s="183"/>
      <c r="G29" s="182">
        <v>4082261476</v>
      </c>
      <c r="H29" s="183"/>
      <c r="I29" s="183"/>
    </row>
    <row r="30" spans="1:9" s="149" customFormat="1">
      <c r="A30" s="154">
        <v>2</v>
      </c>
      <c r="B30" s="155" t="s">
        <v>19</v>
      </c>
      <c r="C30" s="182">
        <f>C31+C32</f>
        <v>2486732000000</v>
      </c>
      <c r="D30" s="182">
        <f>D31+D32</f>
        <v>486690890516</v>
      </c>
      <c r="E30" s="177">
        <v>0.2</v>
      </c>
      <c r="F30" s="177">
        <f>D30/951096083146</f>
        <v>0.51171579732106787</v>
      </c>
      <c r="G30" s="182">
        <f>G31+G32</f>
        <v>1330522890516</v>
      </c>
      <c r="H30" s="177">
        <v>0.54</v>
      </c>
      <c r="I30" s="177">
        <f>G30/1813293880818</f>
        <v>0.73376020544214493</v>
      </c>
    </row>
    <row r="31" spans="1:9" s="149" customFormat="1">
      <c r="A31" s="189"/>
      <c r="B31" s="166" t="s">
        <v>20</v>
      </c>
      <c r="C31" s="167">
        <v>2209144000000</v>
      </c>
      <c r="D31" s="167">
        <v>422419866454</v>
      </c>
      <c r="E31" s="184">
        <v>0.19</v>
      </c>
      <c r="F31" s="184">
        <f>D31/613442977127</f>
        <v>0.6886049432538327</v>
      </c>
      <c r="G31" s="167">
        <v>1154281866454</v>
      </c>
      <c r="H31" s="184">
        <v>0.52</v>
      </c>
      <c r="I31" s="184">
        <f>G31/1366847997864</f>
        <v>0.84448444030193459</v>
      </c>
    </row>
    <row r="32" spans="1:9" s="149" customFormat="1">
      <c r="A32" s="174"/>
      <c r="B32" s="171" t="s">
        <v>26</v>
      </c>
      <c r="C32" s="168">
        <v>277588000000</v>
      </c>
      <c r="D32" s="167">
        <v>64271024062</v>
      </c>
      <c r="E32" s="161">
        <f t="shared" si="0"/>
        <v>0.23153387056356903</v>
      </c>
      <c r="F32" s="161">
        <f>D32/337653106019</f>
        <v>0.1903463137649426</v>
      </c>
      <c r="G32" s="167">
        <v>176241024062</v>
      </c>
      <c r="H32" s="161">
        <v>0.63</v>
      </c>
      <c r="I32" s="161">
        <f>G32/446445882954</f>
        <v>0.39476458579002993</v>
      </c>
    </row>
    <row r="33" spans="1:9" s="149" customFormat="1">
      <c r="A33" s="154">
        <v>3</v>
      </c>
      <c r="B33" s="155" t="s">
        <v>7</v>
      </c>
      <c r="C33" s="182">
        <f>C34+C35</f>
        <v>59200000000</v>
      </c>
      <c r="D33" s="188">
        <v>0</v>
      </c>
      <c r="E33" s="188"/>
      <c r="F33" s="183"/>
      <c r="G33" s="188">
        <v>0</v>
      </c>
      <c r="H33" s="188"/>
      <c r="I33" s="183"/>
    </row>
    <row r="34" spans="1:9" s="149" customFormat="1">
      <c r="A34" s="189"/>
      <c r="B34" s="190" t="s">
        <v>20</v>
      </c>
      <c r="C34" s="167">
        <v>53755000000</v>
      </c>
      <c r="D34" s="167"/>
      <c r="E34" s="161"/>
      <c r="F34" s="184"/>
      <c r="G34" s="167"/>
      <c r="H34" s="161"/>
      <c r="I34" s="184"/>
    </row>
    <row r="35" spans="1:9" s="149" customFormat="1">
      <c r="A35" s="174"/>
      <c r="B35" s="171" t="s">
        <v>26</v>
      </c>
      <c r="C35" s="168">
        <v>5445000000</v>
      </c>
      <c r="D35" s="168"/>
      <c r="E35" s="161"/>
      <c r="F35" s="161"/>
      <c r="G35" s="168"/>
      <c r="H35" s="161"/>
      <c r="I35" s="161"/>
    </row>
    <row r="36" spans="1:9" s="149" customFormat="1">
      <c r="A36" s="154">
        <v>4</v>
      </c>
      <c r="B36" s="155" t="s">
        <v>33</v>
      </c>
      <c r="C36" s="182">
        <v>883000000</v>
      </c>
      <c r="D36" s="188"/>
      <c r="E36" s="183"/>
      <c r="F36" s="183"/>
      <c r="G36" s="188"/>
      <c r="H36" s="183"/>
      <c r="I36" s="183"/>
    </row>
    <row r="37" spans="1:9" s="149" customFormat="1">
      <c r="A37" s="154">
        <v>5</v>
      </c>
      <c r="B37" s="155" t="s">
        <v>178</v>
      </c>
      <c r="C37" s="182">
        <v>64225000000</v>
      </c>
      <c r="D37" s="188">
        <v>50763562299</v>
      </c>
      <c r="E37" s="161"/>
      <c r="F37" s="183"/>
      <c r="G37" s="188">
        <v>60763562299</v>
      </c>
      <c r="H37" s="161"/>
      <c r="I37" s="183"/>
    </row>
    <row r="38" spans="1:9" s="149" customFormat="1">
      <c r="A38" s="191" t="s">
        <v>8</v>
      </c>
      <c r="B38" s="155" t="s">
        <v>48</v>
      </c>
      <c r="C38" s="182">
        <v>0</v>
      </c>
      <c r="D38" s="188">
        <v>15937821620</v>
      </c>
      <c r="E38" s="192"/>
      <c r="F38" s="183"/>
      <c r="G38" s="188">
        <v>59467821620</v>
      </c>
      <c r="H38" s="192"/>
      <c r="I38" s="183"/>
    </row>
    <row r="39" spans="1:9" s="149" customFormat="1">
      <c r="A39" s="191" t="s">
        <v>9</v>
      </c>
      <c r="B39" s="193" t="s">
        <v>47</v>
      </c>
      <c r="C39" s="194"/>
      <c r="D39" s="188">
        <v>17860793989</v>
      </c>
      <c r="E39" s="195"/>
      <c r="F39" s="183"/>
      <c r="G39" s="188">
        <v>86388823704</v>
      </c>
      <c r="H39" s="195"/>
      <c r="I39" s="183"/>
    </row>
    <row r="40" spans="1:9" ht="18.75" hidden="1" customHeight="1">
      <c r="A40" s="191" t="s">
        <v>11</v>
      </c>
      <c r="B40" s="196" t="s">
        <v>40</v>
      </c>
      <c r="C40" s="194"/>
      <c r="D40" s="188"/>
      <c r="E40" s="195"/>
      <c r="F40" s="183"/>
    </row>
    <row r="41" spans="1:9">
      <c r="G41" s="69">
        <f>1657524714291-G22</f>
        <v>0</v>
      </c>
    </row>
  </sheetData>
  <mergeCells count="13">
    <mergeCell ref="A6:I6"/>
    <mergeCell ref="G9:G10"/>
    <mergeCell ref="H9:I9"/>
    <mergeCell ref="A9:A10"/>
    <mergeCell ref="B9:B10"/>
    <mergeCell ref="C9:C10"/>
    <mergeCell ref="D9:D10"/>
    <mergeCell ref="E9:F9"/>
    <mergeCell ref="A1:B1"/>
    <mergeCell ref="C1:F1"/>
    <mergeCell ref="A2:B2"/>
    <mergeCell ref="C2:F2"/>
    <mergeCell ref="A5:I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98"/>
  <sheetViews>
    <sheetView topLeftCell="C59" workbookViewId="0">
      <selection activeCell="K87" sqref="K87"/>
    </sheetView>
  </sheetViews>
  <sheetFormatPr defaultRowHeight="15.75"/>
  <cols>
    <col min="1" max="1" width="5.875" style="2" customWidth="1"/>
    <col min="2" max="2" width="40.25" style="2" customWidth="1"/>
    <col min="3" max="3" width="16.875" style="3" customWidth="1"/>
    <col min="4" max="4" width="17.125" style="3" customWidth="1"/>
    <col min="5" max="5" width="17.875" style="3" customWidth="1"/>
    <col min="6" max="6" width="17.25" style="3" customWidth="1"/>
    <col min="7" max="7" width="7.875" style="3" customWidth="1"/>
    <col min="8" max="8" width="7.375" style="3" customWidth="1"/>
    <col min="9" max="9" width="6" style="3" customWidth="1"/>
    <col min="10" max="10" width="17.125" style="3" customWidth="1"/>
    <col min="11" max="11" width="17.75" style="3" customWidth="1"/>
    <col min="12" max="12" width="20.375" style="3" hidden="1" customWidth="1"/>
    <col min="13" max="13" width="8.375" style="2" customWidth="1"/>
    <col min="14" max="14" width="9.25" style="2" customWidth="1"/>
    <col min="15" max="15" width="7.375" style="2" customWidth="1"/>
    <col min="16" max="16384" width="9" style="2"/>
  </cols>
  <sheetData>
    <row r="1" spans="1:15">
      <c r="A1" s="85" t="s">
        <v>28</v>
      </c>
      <c r="B1" s="85">
        <v>3</v>
      </c>
      <c r="C1" s="230" t="s">
        <v>12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5">
      <c r="A2" s="86" t="s">
        <v>29</v>
      </c>
      <c r="B2" s="86"/>
      <c r="C2" s="230" t="s">
        <v>49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5">
      <c r="A3" s="86"/>
      <c r="B3" s="86"/>
    </row>
    <row r="4" spans="1:15" ht="27" customHeight="1">
      <c r="A4" s="230" t="s">
        <v>166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5" ht="22.5" customHeight="1">
      <c r="M5" s="64"/>
    </row>
    <row r="6" spans="1:15" ht="48" customHeight="1">
      <c r="A6" s="225" t="s">
        <v>0</v>
      </c>
      <c r="B6" s="225" t="s">
        <v>3</v>
      </c>
      <c r="C6" s="232" t="s">
        <v>118</v>
      </c>
      <c r="D6" s="233"/>
      <c r="E6" s="234" t="s">
        <v>159</v>
      </c>
      <c r="F6" s="235"/>
      <c r="G6" s="235"/>
      <c r="H6" s="235"/>
      <c r="I6" s="235"/>
      <c r="J6" s="235"/>
      <c r="K6" s="236"/>
      <c r="L6" s="82" t="s">
        <v>158</v>
      </c>
      <c r="M6" s="237" t="s">
        <v>123</v>
      </c>
      <c r="N6" s="238"/>
      <c r="O6" s="239"/>
    </row>
    <row r="7" spans="1:15" ht="126" customHeight="1">
      <c r="A7" s="231"/>
      <c r="B7" s="231"/>
      <c r="C7" s="80" t="s">
        <v>50</v>
      </c>
      <c r="D7" s="80" t="s">
        <v>51</v>
      </c>
      <c r="E7" s="80" t="s">
        <v>167</v>
      </c>
      <c r="F7" s="80" t="s">
        <v>168</v>
      </c>
      <c r="G7" s="79" t="s">
        <v>124</v>
      </c>
      <c r="H7" s="79" t="s">
        <v>125</v>
      </c>
      <c r="I7" s="150" t="s">
        <v>164</v>
      </c>
      <c r="J7" s="80" t="s">
        <v>169</v>
      </c>
      <c r="K7" s="80" t="s">
        <v>170</v>
      </c>
      <c r="L7" s="80" t="s">
        <v>50</v>
      </c>
      <c r="M7" s="79" t="s">
        <v>124</v>
      </c>
      <c r="N7" s="79" t="s">
        <v>125</v>
      </c>
      <c r="O7" s="79" t="s">
        <v>164</v>
      </c>
    </row>
    <row r="8" spans="1:15">
      <c r="A8" s="79" t="s">
        <v>1</v>
      </c>
      <c r="B8" s="79" t="s">
        <v>2</v>
      </c>
      <c r="C8" s="80">
        <v>1</v>
      </c>
      <c r="D8" s="80">
        <v>2</v>
      </c>
      <c r="E8" s="80">
        <v>3</v>
      </c>
      <c r="F8" s="80">
        <v>4</v>
      </c>
      <c r="G8" s="80" t="s">
        <v>156</v>
      </c>
      <c r="H8" s="80" t="s">
        <v>157</v>
      </c>
      <c r="I8" s="80"/>
      <c r="J8" s="87">
        <v>7</v>
      </c>
      <c r="K8" s="87">
        <v>8</v>
      </c>
      <c r="L8" s="80">
        <v>4</v>
      </c>
      <c r="M8" s="79" t="s">
        <v>160</v>
      </c>
      <c r="N8" s="79" t="s">
        <v>161</v>
      </c>
      <c r="O8" s="79"/>
    </row>
    <row r="9" spans="1:15" ht="35.25" hidden="1" customHeight="1">
      <c r="A9" s="79"/>
      <c r="B9" s="79" t="s">
        <v>126</v>
      </c>
      <c r="C9" s="83">
        <f>C11+C38+C39+C45+C46+C47+C48</f>
        <v>4217703000000</v>
      </c>
      <c r="D9" s="83">
        <f t="shared" ref="D9:L9" si="0">D11+D38+D39+D45+D46+D47+D48</f>
        <v>3041582000000</v>
      </c>
      <c r="E9" s="62">
        <f t="shared" si="0"/>
        <v>2134158480015</v>
      </c>
      <c r="F9" s="62"/>
      <c r="G9" s="62"/>
      <c r="H9" s="62"/>
      <c r="I9" s="62"/>
      <c r="J9" s="62">
        <f>J11+J38+J39+J45+J46+J47+J48</f>
        <v>4154792520829</v>
      </c>
      <c r="K9" s="62">
        <f t="shared" si="0"/>
        <v>3191277901704</v>
      </c>
      <c r="L9" s="62">
        <f t="shared" si="0"/>
        <v>2458975914184</v>
      </c>
      <c r="M9" s="6">
        <f t="shared" ref="M9:N16" si="1">(J9/C9)*100%</f>
        <v>0.98508418464481728</v>
      </c>
      <c r="N9" s="6">
        <f t="shared" si="1"/>
        <v>1.0492164609417074</v>
      </c>
      <c r="O9" s="6"/>
    </row>
    <row r="10" spans="1:15" ht="48" customHeight="1">
      <c r="A10" s="79"/>
      <c r="B10" s="79" t="s">
        <v>127</v>
      </c>
      <c r="C10" s="62">
        <f>C11+C38+C39</f>
        <v>4217703000000</v>
      </c>
      <c r="D10" s="62">
        <f>D11+D38+D39+D48</f>
        <v>3041582000000</v>
      </c>
      <c r="E10" s="62">
        <f t="shared" ref="E10:L10" si="2">E11+E38+E39</f>
        <v>995434749771</v>
      </c>
      <c r="F10" s="62">
        <f t="shared" si="2"/>
        <v>666014287495.80005</v>
      </c>
      <c r="G10" s="84">
        <f>E10/C10*100%</f>
        <v>0.23601347694965719</v>
      </c>
      <c r="H10" s="84">
        <f>F10/D10*100%</f>
        <v>0.21896969652496631</v>
      </c>
      <c r="I10" s="84">
        <f>E10/1167156670246</f>
        <v>0.85287157683911752</v>
      </c>
      <c r="J10" s="62">
        <f t="shared" si="2"/>
        <v>3016068790585</v>
      </c>
      <c r="K10" s="62">
        <f t="shared" si="2"/>
        <v>2052554171460</v>
      </c>
      <c r="L10" s="62">
        <f t="shared" si="2"/>
        <v>2458975914184</v>
      </c>
      <c r="M10" s="6">
        <f t="shared" si="1"/>
        <v>0.71509748092385828</v>
      </c>
      <c r="N10" s="6">
        <f>K10/D10*100%</f>
        <v>0.67483111468308266</v>
      </c>
      <c r="O10" s="6">
        <f>J10/3626132584430</f>
        <v>0.83175910432384337</v>
      </c>
    </row>
    <row r="11" spans="1:15" ht="27.75" customHeight="1">
      <c r="A11" s="79" t="s">
        <v>5</v>
      </c>
      <c r="B11" s="7" t="s">
        <v>128</v>
      </c>
      <c r="C11" s="80">
        <f t="shared" ref="C11:L11" si="3">C13+C19+C21+C23+C24+C25+C27+C29+C33+C35+C30+C32+C37</f>
        <v>3227000000000</v>
      </c>
      <c r="D11" s="80">
        <f t="shared" si="3"/>
        <v>2022000000000</v>
      </c>
      <c r="E11" s="80">
        <f t="shared" si="3"/>
        <v>791195749771</v>
      </c>
      <c r="F11" s="80">
        <f t="shared" si="3"/>
        <v>461775287495.79999</v>
      </c>
      <c r="G11" s="84">
        <f t="shared" ref="G11:G40" si="4">E11/C11*100%</f>
        <v>0.24517996584164858</v>
      </c>
      <c r="H11" s="84">
        <f t="shared" ref="H11:H40" si="5">F11/D11*100%</f>
        <v>0.22837551310375864</v>
      </c>
      <c r="I11" s="84">
        <f>E11/768004670246</f>
        <v>1.03019653450489</v>
      </c>
      <c r="J11" s="80">
        <f t="shared" si="3"/>
        <v>2361544790585</v>
      </c>
      <c r="K11" s="80">
        <f t="shared" si="3"/>
        <v>1398030171460</v>
      </c>
      <c r="L11" s="80">
        <f t="shared" si="3"/>
        <v>2019044914184</v>
      </c>
      <c r="M11" s="6">
        <f t="shared" si="1"/>
        <v>0.73180811607840102</v>
      </c>
      <c r="N11" s="6">
        <f t="shared" si="1"/>
        <v>0.69140958034619193</v>
      </c>
      <c r="O11" s="6">
        <v>0.84732787094205109</v>
      </c>
    </row>
    <row r="12" spans="1:15" ht="16.5" customHeight="1">
      <c r="A12" s="79"/>
      <c r="B12" s="199" t="s">
        <v>174</v>
      </c>
      <c r="C12" s="80">
        <f>C11-C27</f>
        <v>2777000000000</v>
      </c>
      <c r="D12" s="80">
        <f t="shared" ref="D12:F12" si="6">D11-D27</f>
        <v>1752000000000</v>
      </c>
      <c r="E12" s="80">
        <f t="shared" si="6"/>
        <v>700019409408</v>
      </c>
      <c r="F12" s="80">
        <f t="shared" si="6"/>
        <v>407069483278</v>
      </c>
      <c r="G12" s="84">
        <f t="shared" si="4"/>
        <v>0.25207756910622975</v>
      </c>
      <c r="H12" s="84">
        <f t="shared" si="5"/>
        <v>0.23234559547831049</v>
      </c>
      <c r="I12" s="84"/>
      <c r="J12" s="80">
        <f>J11-J27</f>
        <v>1990581395949</v>
      </c>
      <c r="K12" s="80">
        <f>K11-K27</f>
        <v>1175452134669</v>
      </c>
      <c r="L12" s="80"/>
      <c r="M12" s="6">
        <f t="shared" si="1"/>
        <v>0.71681000934425643</v>
      </c>
      <c r="N12" s="6">
        <f t="shared" si="1"/>
        <v>0.6709201681900685</v>
      </c>
      <c r="O12" s="6"/>
    </row>
    <row r="13" spans="1:15">
      <c r="A13" s="79">
        <v>1</v>
      </c>
      <c r="B13" s="7" t="s">
        <v>52</v>
      </c>
      <c r="C13" s="80">
        <f>SUM(C14:C18)</f>
        <v>1480000000000</v>
      </c>
      <c r="D13" s="80">
        <f t="shared" ref="D13:L13" si="7">SUM(D14:D18)</f>
        <v>753000000000</v>
      </c>
      <c r="E13" s="80">
        <f t="shared" si="7"/>
        <v>454103396099</v>
      </c>
      <c r="F13" s="80">
        <f t="shared" si="7"/>
        <v>229354182272</v>
      </c>
      <c r="G13" s="84">
        <f t="shared" si="4"/>
        <v>0.30682661898581082</v>
      </c>
      <c r="H13" s="84">
        <f t="shared" si="5"/>
        <v>0.30458722745285527</v>
      </c>
      <c r="I13" s="84">
        <f>E13/288411931229</f>
        <v>1.5744958752709868</v>
      </c>
      <c r="J13" s="80">
        <f t="shared" si="7"/>
        <v>1191198807291</v>
      </c>
      <c r="K13" s="80">
        <f t="shared" si="7"/>
        <v>589517851576</v>
      </c>
      <c r="L13" s="80">
        <f t="shared" si="7"/>
        <v>693467056849</v>
      </c>
      <c r="M13" s="6">
        <f t="shared" si="1"/>
        <v>0.80486405898040536</v>
      </c>
      <c r="N13" s="6">
        <f t="shared" si="1"/>
        <v>0.78289223316865875</v>
      </c>
      <c r="O13" s="6">
        <v>1.2131829092531428</v>
      </c>
    </row>
    <row r="14" spans="1:15">
      <c r="A14" s="4"/>
      <c r="B14" s="10" t="s">
        <v>129</v>
      </c>
      <c r="C14" s="5">
        <v>1151800000000</v>
      </c>
      <c r="D14" s="5">
        <f>C14*50%</f>
        <v>575900000000</v>
      </c>
      <c r="E14" s="5">
        <v>334749330431</v>
      </c>
      <c r="F14" s="5">
        <f>E14*50%</f>
        <v>167374665215.5</v>
      </c>
      <c r="G14" s="84">
        <f t="shared" si="4"/>
        <v>0.29063147285205765</v>
      </c>
      <c r="H14" s="84">
        <f t="shared" si="5"/>
        <v>0.29063147285205765</v>
      </c>
      <c r="I14" s="84">
        <f>E14/231061222665</f>
        <v>1.4487473344513992</v>
      </c>
      <c r="J14" s="5">
        <v>887880877199</v>
      </c>
      <c r="K14" s="5">
        <v>443940441908</v>
      </c>
      <c r="L14" s="5">
        <v>526751325089</v>
      </c>
      <c r="M14" s="6">
        <f t="shared" si="1"/>
        <v>0.77086375863778434</v>
      </c>
      <c r="N14" s="6">
        <f t="shared" si="1"/>
        <v>0.77086376438270532</v>
      </c>
      <c r="O14" s="6">
        <v>1.1716365476271087</v>
      </c>
    </row>
    <row r="15" spans="1:15">
      <c r="A15" s="4"/>
      <c r="B15" s="10" t="s">
        <v>130</v>
      </c>
      <c r="C15" s="5">
        <v>300000000000</v>
      </c>
      <c r="D15" s="5">
        <f t="shared" ref="D15:D16" si="8">C15*50%</f>
        <v>150000000000</v>
      </c>
      <c r="E15" s="5">
        <v>114138231938</v>
      </c>
      <c r="F15" s="5">
        <f t="shared" ref="F15:F16" si="9">E15*50%</f>
        <v>57069115969</v>
      </c>
      <c r="G15" s="84">
        <f t="shared" si="4"/>
        <v>0.38046077312666665</v>
      </c>
      <c r="H15" s="84">
        <f t="shared" si="5"/>
        <v>0.38046077312666665</v>
      </c>
      <c r="I15" s="84">
        <f>E15/52757942608</f>
        <v>2.1634322017836332</v>
      </c>
      <c r="J15" s="5">
        <v>286887000000</v>
      </c>
      <c r="K15" s="5">
        <v>129998957942</v>
      </c>
      <c r="L15" s="5">
        <v>149476446082</v>
      </c>
      <c r="M15" s="6">
        <f t="shared" si="1"/>
        <v>0.95628999999999997</v>
      </c>
      <c r="N15" s="6">
        <f t="shared" si="1"/>
        <v>0.86665971961333332</v>
      </c>
      <c r="O15" s="6">
        <v>1.4185866303863972</v>
      </c>
    </row>
    <row r="16" spans="1:15">
      <c r="A16" s="4"/>
      <c r="B16" s="10" t="s">
        <v>131</v>
      </c>
      <c r="C16" s="5">
        <v>2200000000</v>
      </c>
      <c r="D16" s="5">
        <f t="shared" si="8"/>
        <v>1100000000</v>
      </c>
      <c r="E16" s="5">
        <v>610865285</v>
      </c>
      <c r="F16" s="5">
        <f t="shared" si="9"/>
        <v>305432642.5</v>
      </c>
      <c r="G16" s="84">
        <f t="shared" si="4"/>
        <v>0.27766603863636363</v>
      </c>
      <c r="H16" s="84">
        <f t="shared" si="5"/>
        <v>0.27766603863636363</v>
      </c>
      <c r="I16" s="84">
        <f>E16/807076041</f>
        <v>0.75688690280424276</v>
      </c>
      <c r="J16" s="5">
        <v>1648179496</v>
      </c>
      <c r="K16" s="5">
        <v>795701130</v>
      </c>
      <c r="L16" s="5">
        <v>966063238</v>
      </c>
      <c r="M16" s="6">
        <f t="shared" si="1"/>
        <v>0.74917249818181819</v>
      </c>
      <c r="N16" s="6">
        <f t="shared" si="1"/>
        <v>0.72336466363636365</v>
      </c>
      <c r="O16" s="6">
        <v>0.92952624507282144</v>
      </c>
    </row>
    <row r="17" spans="1:15" ht="31.5">
      <c r="A17" s="4"/>
      <c r="B17" s="9" t="s">
        <v>53</v>
      </c>
      <c r="C17" s="5"/>
      <c r="D17" s="5"/>
      <c r="E17" s="5">
        <v>0</v>
      </c>
      <c r="F17" s="5"/>
      <c r="G17" s="84"/>
      <c r="H17" s="84"/>
      <c r="I17" s="84"/>
      <c r="J17" s="5"/>
      <c r="K17" s="5"/>
      <c r="L17" s="5"/>
      <c r="M17" s="6"/>
      <c r="N17" s="6"/>
      <c r="O17" s="6"/>
    </row>
    <row r="18" spans="1:15">
      <c r="A18" s="4"/>
      <c r="B18" s="8" t="s">
        <v>54</v>
      </c>
      <c r="C18" s="5">
        <v>26000000000</v>
      </c>
      <c r="D18" s="5">
        <f>C18</f>
        <v>26000000000</v>
      </c>
      <c r="E18" s="5">
        <v>4604968445</v>
      </c>
      <c r="F18" s="5">
        <f>E18</f>
        <v>4604968445</v>
      </c>
      <c r="G18" s="84">
        <f t="shared" si="4"/>
        <v>0.17711417096153848</v>
      </c>
      <c r="H18" s="84">
        <f t="shared" si="5"/>
        <v>0.17711417096153848</v>
      </c>
      <c r="I18" s="84">
        <f>E18/3785689915</f>
        <v>1.2164145897829035</v>
      </c>
      <c r="J18" s="5">
        <v>14782750596</v>
      </c>
      <c r="K18" s="5">
        <v>14782750596</v>
      </c>
      <c r="L18" s="5">
        <v>16273222440</v>
      </c>
      <c r="M18" s="6">
        <f>(J18/C18)*100%</f>
        <v>0.56856733061538467</v>
      </c>
      <c r="N18" s="6">
        <f>(K18/D18)*100%</f>
        <v>0.56856733061538467</v>
      </c>
      <c r="O18" s="6">
        <v>0.73696670758497862</v>
      </c>
    </row>
    <row r="19" spans="1:15" ht="20.25" customHeight="1">
      <c r="A19" s="79">
        <v>2</v>
      </c>
      <c r="B19" s="7" t="s">
        <v>132</v>
      </c>
      <c r="C19" s="80">
        <v>560000000000</v>
      </c>
      <c r="D19" s="80">
        <f>C19</f>
        <v>560000000000</v>
      </c>
      <c r="E19" s="80">
        <v>87501792306</v>
      </c>
      <c r="F19" s="80">
        <f>E19</f>
        <v>87501792306</v>
      </c>
      <c r="G19" s="84">
        <f t="shared" si="4"/>
        <v>0.15625320054642858</v>
      </c>
      <c r="H19" s="84">
        <f t="shared" si="5"/>
        <v>0.15625320054642858</v>
      </c>
      <c r="I19" s="84">
        <f>E19/135856364307</f>
        <v>0.64407576893688057</v>
      </c>
      <c r="J19" s="80">
        <v>240963922127</v>
      </c>
      <c r="K19" s="80">
        <v>240963922127</v>
      </c>
      <c r="L19" s="80">
        <v>327161295852</v>
      </c>
      <c r="M19" s="6">
        <f>(J19/C19)*100%</f>
        <v>0.43029271808392855</v>
      </c>
      <c r="N19" s="6">
        <f>(K19/D19)*100%</f>
        <v>0.43029271808392855</v>
      </c>
      <c r="O19" s="6">
        <v>0.52042058621317622</v>
      </c>
    </row>
    <row r="20" spans="1:15" ht="21" customHeight="1">
      <c r="A20" s="79">
        <v>3</v>
      </c>
      <c r="B20" s="7" t="s">
        <v>55</v>
      </c>
      <c r="C20" s="80">
        <v>0</v>
      </c>
      <c r="D20" s="5"/>
      <c r="E20" s="5"/>
      <c r="F20" s="5"/>
      <c r="G20" s="84"/>
      <c r="H20" s="84"/>
      <c r="I20" s="84"/>
      <c r="J20" s="5"/>
      <c r="K20" s="5"/>
      <c r="L20" s="5"/>
      <c r="M20" s="6"/>
      <c r="N20" s="6"/>
      <c r="O20" s="6"/>
    </row>
    <row r="21" spans="1:15" ht="44.25" customHeight="1">
      <c r="A21" s="79">
        <v>4</v>
      </c>
      <c r="B21" s="7" t="s">
        <v>133</v>
      </c>
      <c r="C21" s="80">
        <v>57000000000</v>
      </c>
      <c r="D21" s="5">
        <f>C21</f>
        <v>57000000000</v>
      </c>
      <c r="E21" s="5">
        <v>19621410221</v>
      </c>
      <c r="F21" s="5">
        <f>E21</f>
        <v>19621410221</v>
      </c>
      <c r="G21" s="84">
        <f t="shared" si="4"/>
        <v>0.34423526703508772</v>
      </c>
      <c r="H21" s="84">
        <f t="shared" si="5"/>
        <v>0.34423526703508772</v>
      </c>
      <c r="I21" s="84">
        <f>E21/14168866330</f>
        <v>1.3848256991072905</v>
      </c>
      <c r="J21" s="5">
        <v>95698409858</v>
      </c>
      <c r="K21" s="5">
        <v>93687918451</v>
      </c>
      <c r="L21" s="5">
        <v>68841697208</v>
      </c>
      <c r="M21" s="6">
        <f>(J21/C21)*100%</f>
        <v>1.6789194711929825</v>
      </c>
      <c r="N21" s="6">
        <f>(K21/D21)*100%</f>
        <v>1.6436476921228069</v>
      </c>
      <c r="O21" s="6">
        <v>1.1528461653460749</v>
      </c>
    </row>
    <row r="22" spans="1:15" ht="20.25" customHeight="1">
      <c r="A22" s="79">
        <v>5</v>
      </c>
      <c r="B22" s="7" t="s">
        <v>56</v>
      </c>
      <c r="C22" s="80">
        <v>0</v>
      </c>
      <c r="D22" s="5"/>
      <c r="E22" s="5"/>
      <c r="F22" s="5"/>
      <c r="G22" s="84"/>
      <c r="H22" s="84"/>
      <c r="I22" s="84"/>
      <c r="J22" s="5"/>
      <c r="K22" s="5"/>
      <c r="L22" s="5"/>
      <c r="M22" s="6"/>
      <c r="N22" s="6"/>
      <c r="O22" s="6"/>
    </row>
    <row r="23" spans="1:15" ht="21" customHeight="1">
      <c r="A23" s="79">
        <v>6</v>
      </c>
      <c r="B23" s="7" t="s">
        <v>134</v>
      </c>
      <c r="C23" s="80">
        <v>500000000000</v>
      </c>
      <c r="D23" s="80">
        <f>C23*50%</f>
        <v>250000000000</v>
      </c>
      <c r="E23" s="80">
        <v>88412996930</v>
      </c>
      <c r="F23" s="80">
        <f>E23*50%</f>
        <v>44206498465</v>
      </c>
      <c r="G23" s="84">
        <f t="shared" si="4"/>
        <v>0.17682599386</v>
      </c>
      <c r="H23" s="84">
        <f t="shared" si="5"/>
        <v>0.17682599386</v>
      </c>
      <c r="I23" s="84">
        <f>E23/102543728988</f>
        <v>0.86219798911688084</v>
      </c>
      <c r="J23" s="80">
        <v>284332290701</v>
      </c>
      <c r="K23" s="80">
        <v>138034106261</v>
      </c>
      <c r="L23" s="80">
        <v>289849083090</v>
      </c>
      <c r="M23" s="6">
        <f t="shared" ref="M23:N29" si="10">(J23/C23)*100%</f>
        <v>0.56866458140200005</v>
      </c>
      <c r="N23" s="6">
        <f t="shared" si="10"/>
        <v>0.55213642504399996</v>
      </c>
      <c r="O23" s="6">
        <v>0.72461136378940683</v>
      </c>
    </row>
    <row r="24" spans="1:15" ht="21" customHeight="1">
      <c r="A24" s="79">
        <v>7</v>
      </c>
      <c r="B24" s="7" t="s">
        <v>135</v>
      </c>
      <c r="C24" s="80">
        <v>14000000000</v>
      </c>
      <c r="D24" s="80">
        <f>C24*50%</f>
        <v>7000000000</v>
      </c>
      <c r="E24" s="80">
        <v>3925498286</v>
      </c>
      <c r="F24" s="80">
        <f>E24*50%</f>
        <v>1962749143</v>
      </c>
      <c r="G24" s="84">
        <f t="shared" si="4"/>
        <v>0.28039273471428572</v>
      </c>
      <c r="H24" s="84">
        <f t="shared" si="5"/>
        <v>0.28039273471428572</v>
      </c>
      <c r="I24" s="84">
        <f>E24/1708947697</f>
        <v>2.297026581264646</v>
      </c>
      <c r="J24" s="80">
        <v>10195809465</v>
      </c>
      <c r="K24" s="80">
        <v>3058742841</v>
      </c>
      <c r="L24" s="80">
        <v>7503683807</v>
      </c>
      <c r="M24" s="6">
        <f t="shared" si="10"/>
        <v>0.72827210464285719</v>
      </c>
      <c r="N24" s="6">
        <f t="shared" si="10"/>
        <v>0.43696326299999999</v>
      </c>
      <c r="O24" s="6">
        <v>1.1067206433442081</v>
      </c>
    </row>
    <row r="25" spans="1:15" ht="19.5" customHeight="1">
      <c r="A25" s="79">
        <v>8</v>
      </c>
      <c r="B25" s="7" t="s">
        <v>57</v>
      </c>
      <c r="C25" s="80">
        <v>67000000000</v>
      </c>
      <c r="D25" s="80">
        <f>D26</f>
        <v>56000000000</v>
      </c>
      <c r="E25" s="80">
        <v>18241679963</v>
      </c>
      <c r="F25" s="80">
        <f>E26</f>
        <v>6397408637</v>
      </c>
      <c r="G25" s="84">
        <f t="shared" si="4"/>
        <v>0.27226388004477614</v>
      </c>
      <c r="H25" s="84">
        <f t="shared" si="5"/>
        <v>0.11423943994642857</v>
      </c>
      <c r="I25" s="84">
        <f>E25/10347081071</f>
        <v>1.7629783547484104</v>
      </c>
      <c r="J25" s="80">
        <v>69911656237</v>
      </c>
      <c r="K25" s="80">
        <v>54510747399</v>
      </c>
      <c r="L25" s="80">
        <v>53518933731</v>
      </c>
      <c r="M25" s="6">
        <f t="shared" si="10"/>
        <v>1.0434575557761194</v>
      </c>
      <c r="N25" s="6">
        <f t="shared" si="10"/>
        <v>0.97340620355357144</v>
      </c>
      <c r="O25" s="6">
        <v>1.0946613226728321</v>
      </c>
    </row>
    <row r="26" spans="1:15" ht="31.5">
      <c r="A26" s="4"/>
      <c r="B26" s="9" t="s">
        <v>58</v>
      </c>
      <c r="C26" s="5">
        <v>56000000000</v>
      </c>
      <c r="D26" s="5">
        <f>C26</f>
        <v>56000000000</v>
      </c>
      <c r="E26" s="5">
        <v>6397408637</v>
      </c>
      <c r="F26" s="5">
        <f>E26</f>
        <v>6397408637</v>
      </c>
      <c r="G26" s="84">
        <f t="shared" si="4"/>
        <v>0.11423943994642857</v>
      </c>
      <c r="H26" s="84">
        <f t="shared" si="5"/>
        <v>0.11423943994642857</v>
      </c>
      <c r="I26" s="84">
        <f>E26/6038124351</f>
        <v>1.0595026311342026</v>
      </c>
      <c r="J26" s="5">
        <v>54510747399</v>
      </c>
      <c r="K26" s="5">
        <v>54510747399</v>
      </c>
      <c r="L26" s="5">
        <v>47943877446</v>
      </c>
      <c r="M26" s="6">
        <f t="shared" si="10"/>
        <v>0.97340620355357144</v>
      </c>
      <c r="N26" s="6">
        <f t="shared" si="10"/>
        <v>0.97340620355357144</v>
      </c>
      <c r="O26" s="6">
        <v>1.0097948498462201</v>
      </c>
    </row>
    <row r="27" spans="1:15" ht="25.5" customHeight="1">
      <c r="A27" s="79">
        <v>9</v>
      </c>
      <c r="B27" s="7" t="s">
        <v>136</v>
      </c>
      <c r="C27" s="80">
        <v>450000000000</v>
      </c>
      <c r="D27" s="80">
        <f>C27*60%</f>
        <v>270000000000</v>
      </c>
      <c r="E27" s="80">
        <v>91176340363</v>
      </c>
      <c r="F27" s="80">
        <f>E27*60%</f>
        <v>54705804217.799995</v>
      </c>
      <c r="G27" s="84">
        <f t="shared" si="4"/>
        <v>0.20261408969555555</v>
      </c>
      <c r="H27" s="84">
        <f t="shared" si="5"/>
        <v>0.20261408969555553</v>
      </c>
      <c r="I27" s="84">
        <f>E27/186009652149</f>
        <v>0.49016994177250911</v>
      </c>
      <c r="J27" s="80">
        <v>370963394636</v>
      </c>
      <c r="K27" s="80">
        <v>222578036791</v>
      </c>
      <c r="L27" s="80">
        <v>512406703882</v>
      </c>
      <c r="M27" s="6">
        <f t="shared" si="10"/>
        <v>0.82436309919111106</v>
      </c>
      <c r="N27" s="6">
        <f t="shared" si="10"/>
        <v>0.82436309922592588</v>
      </c>
      <c r="O27" s="6">
        <v>0.53114935157608822</v>
      </c>
    </row>
    <row r="28" spans="1:15" ht="31.5" hidden="1" customHeight="1">
      <c r="A28" s="4"/>
      <c r="B28" s="9" t="s">
        <v>137</v>
      </c>
      <c r="C28" s="5">
        <v>590000000000</v>
      </c>
      <c r="D28" s="5">
        <f>C28*60%</f>
        <v>354000000000</v>
      </c>
      <c r="E28" s="5">
        <v>0</v>
      </c>
      <c r="F28" s="5"/>
      <c r="G28" s="84">
        <f t="shared" si="4"/>
        <v>0</v>
      </c>
      <c r="H28" s="84">
        <f t="shared" si="5"/>
        <v>0</v>
      </c>
      <c r="I28" s="84"/>
      <c r="J28" s="5"/>
      <c r="K28" s="5"/>
      <c r="L28" s="5"/>
      <c r="M28" s="6">
        <f t="shared" si="10"/>
        <v>0</v>
      </c>
      <c r="N28" s="6">
        <f t="shared" si="10"/>
        <v>0</v>
      </c>
      <c r="O28" s="6" t="e">
        <v>#DIV/0!</v>
      </c>
    </row>
    <row r="29" spans="1:15" ht="19.5" customHeight="1">
      <c r="A29" s="79">
        <v>10</v>
      </c>
      <c r="B29" s="7" t="s">
        <v>59</v>
      </c>
      <c r="C29" s="80">
        <v>14000000000</v>
      </c>
      <c r="D29" s="80">
        <f>C29</f>
        <v>14000000000</v>
      </c>
      <c r="E29" s="80">
        <v>2526743205</v>
      </c>
      <c r="F29" s="80">
        <f>E29</f>
        <v>2526743205</v>
      </c>
      <c r="G29" s="84">
        <f t="shared" si="4"/>
        <v>0.1804816575</v>
      </c>
      <c r="H29" s="84">
        <f t="shared" si="5"/>
        <v>0.1804816575</v>
      </c>
      <c r="I29" s="84">
        <f>E29/4180853407</f>
        <v>0.60436063143698737</v>
      </c>
      <c r="J29" s="80">
        <v>8138176749</v>
      </c>
      <c r="K29" s="80">
        <v>7049457909</v>
      </c>
      <c r="L29" s="80">
        <v>4939794679</v>
      </c>
      <c r="M29" s="6">
        <f t="shared" si="10"/>
        <v>0.58129833921428575</v>
      </c>
      <c r="N29" s="6">
        <f t="shared" si="10"/>
        <v>0.50353270778571424</v>
      </c>
      <c r="O29" s="6"/>
    </row>
    <row r="30" spans="1:15" ht="22.5" customHeight="1">
      <c r="A30" s="79">
        <v>11</v>
      </c>
      <c r="B30" s="7" t="s">
        <v>60</v>
      </c>
      <c r="C30" s="5">
        <v>0</v>
      </c>
      <c r="D30" s="5"/>
      <c r="E30" s="5"/>
      <c r="F30" s="5"/>
      <c r="G30" s="84"/>
      <c r="H30" s="84"/>
      <c r="I30" s="84"/>
      <c r="J30" s="5"/>
      <c r="K30" s="5"/>
      <c r="L30" s="5"/>
      <c r="M30" s="6"/>
      <c r="N30" s="6"/>
      <c r="O30" s="6"/>
    </row>
    <row r="31" spans="1:15">
      <c r="A31" s="4"/>
      <c r="B31" s="9" t="s">
        <v>61</v>
      </c>
      <c r="C31" s="5">
        <v>0</v>
      </c>
      <c r="D31" s="5"/>
      <c r="E31" s="5"/>
      <c r="F31" s="5"/>
      <c r="G31" s="84"/>
      <c r="H31" s="84"/>
      <c r="I31" s="84"/>
      <c r="J31" s="5"/>
      <c r="K31" s="5"/>
      <c r="L31" s="5"/>
      <c r="M31" s="6"/>
      <c r="N31" s="6"/>
      <c r="O31" s="6"/>
    </row>
    <row r="32" spans="1:15" ht="31.5">
      <c r="A32" s="79">
        <v>12</v>
      </c>
      <c r="B32" s="7" t="s">
        <v>62</v>
      </c>
      <c r="C32" s="5">
        <v>0</v>
      </c>
      <c r="D32" s="5"/>
      <c r="E32" s="5"/>
      <c r="F32" s="5"/>
      <c r="G32" s="84"/>
      <c r="H32" s="84"/>
      <c r="I32" s="84"/>
      <c r="J32" s="5"/>
      <c r="K32" s="5"/>
      <c r="L32" s="5"/>
      <c r="M32" s="6"/>
      <c r="N32" s="6"/>
      <c r="O32" s="6"/>
    </row>
    <row r="33" spans="1:15" ht="18.75">
      <c r="A33" s="79">
        <v>13</v>
      </c>
      <c r="B33" s="7" t="s">
        <v>21</v>
      </c>
      <c r="C33" s="80">
        <v>85000000000</v>
      </c>
      <c r="D33" s="80">
        <f>D34</f>
        <v>55000000000</v>
      </c>
      <c r="E33" s="212">
        <v>25685892398</v>
      </c>
      <c r="F33" s="80">
        <f>E34</f>
        <v>15498699029</v>
      </c>
      <c r="G33" s="84">
        <f t="shared" si="4"/>
        <v>0.3021869693882353</v>
      </c>
      <c r="H33" s="84">
        <f t="shared" si="5"/>
        <v>0.28179452780000003</v>
      </c>
      <c r="I33" s="84">
        <f>E33/24777245068</f>
        <v>1.0366726537799607</v>
      </c>
      <c r="J33" s="80">
        <v>90142323521</v>
      </c>
      <c r="K33" s="80">
        <v>48629388105</v>
      </c>
      <c r="L33" s="80">
        <v>61356665086</v>
      </c>
      <c r="M33" s="6">
        <f>(J33/C33)*100%</f>
        <v>1.0604979237764707</v>
      </c>
      <c r="N33" s="6">
        <f>(K33/D33)*100%</f>
        <v>0.88417069281818184</v>
      </c>
      <c r="O33" s="6">
        <v>1.0465369952418659</v>
      </c>
    </row>
    <row r="34" spans="1:15" ht="18.75">
      <c r="A34" s="4"/>
      <c r="B34" s="9" t="s">
        <v>63</v>
      </c>
      <c r="C34" s="5">
        <v>55000000000</v>
      </c>
      <c r="D34" s="5">
        <f>C34</f>
        <v>55000000000</v>
      </c>
      <c r="E34" s="198">
        <v>15498699029</v>
      </c>
      <c r="F34" s="5">
        <f>E34</f>
        <v>15498699029</v>
      </c>
      <c r="G34" s="84">
        <f t="shared" si="4"/>
        <v>0.28179452780000003</v>
      </c>
      <c r="H34" s="84">
        <f t="shared" si="5"/>
        <v>0.28179452780000003</v>
      </c>
      <c r="I34" s="84">
        <f>E34/12555792838</f>
        <v>1.2343863290013291</v>
      </c>
      <c r="J34" s="5">
        <v>48629388105</v>
      </c>
      <c r="K34" s="5">
        <v>48629388105</v>
      </c>
      <c r="L34" s="5">
        <v>50336344087</v>
      </c>
      <c r="M34" s="6">
        <f>(J34/C34)*100%</f>
        <v>0.88417069281818184</v>
      </c>
      <c r="N34" s="6">
        <f>(K34/D34)*100%</f>
        <v>0.88417069281818184</v>
      </c>
      <c r="O34" s="6"/>
    </row>
    <row r="35" spans="1:15" ht="31.5">
      <c r="A35" s="79">
        <v>14</v>
      </c>
      <c r="B35" s="7" t="s">
        <v>64</v>
      </c>
      <c r="C35" s="80"/>
      <c r="D35" s="5"/>
      <c r="E35" s="5"/>
      <c r="F35" s="5"/>
      <c r="G35" s="84"/>
      <c r="H35" s="84"/>
      <c r="I35" s="84"/>
      <c r="J35" s="5"/>
      <c r="K35" s="5"/>
      <c r="L35" s="5"/>
      <c r="M35" s="6"/>
      <c r="N35" s="6"/>
      <c r="O35" s="6"/>
    </row>
    <row r="36" spans="1:15">
      <c r="A36" s="79">
        <v>16</v>
      </c>
      <c r="B36" s="7" t="s">
        <v>65</v>
      </c>
      <c r="C36" s="80">
        <v>0</v>
      </c>
      <c r="D36" s="5"/>
      <c r="E36" s="5"/>
      <c r="F36" s="5"/>
      <c r="G36" s="84"/>
      <c r="H36" s="84"/>
      <c r="I36" s="84"/>
      <c r="J36" s="5"/>
      <c r="K36" s="5"/>
      <c r="L36" s="5"/>
      <c r="M36" s="6"/>
      <c r="N36" s="6"/>
      <c r="O36" s="6"/>
    </row>
    <row r="37" spans="1:15" ht="31.5">
      <c r="A37" s="79">
        <v>17</v>
      </c>
      <c r="B37" s="7" t="s">
        <v>66</v>
      </c>
      <c r="C37" s="5">
        <v>0</v>
      </c>
      <c r="D37" s="5"/>
      <c r="E37" s="5"/>
      <c r="F37" s="5"/>
      <c r="G37" s="84"/>
      <c r="H37" s="84"/>
      <c r="I37" s="84"/>
      <c r="J37" s="5"/>
      <c r="K37" s="5"/>
      <c r="L37" s="5"/>
      <c r="M37" s="6"/>
      <c r="N37" s="6"/>
      <c r="O37" s="6"/>
    </row>
    <row r="38" spans="1:15">
      <c r="A38" s="79" t="s">
        <v>8</v>
      </c>
      <c r="B38" s="7" t="s">
        <v>67</v>
      </c>
      <c r="C38" s="5"/>
      <c r="D38" s="5"/>
      <c r="E38" s="5"/>
      <c r="F38" s="5"/>
      <c r="G38" s="84"/>
      <c r="H38" s="84"/>
      <c r="I38" s="84"/>
      <c r="J38" s="5"/>
      <c r="K38" s="5"/>
      <c r="L38" s="5"/>
      <c r="M38" s="6"/>
      <c r="N38" s="6"/>
      <c r="O38" s="6"/>
    </row>
    <row r="39" spans="1:15">
      <c r="A39" s="79" t="s">
        <v>9</v>
      </c>
      <c r="B39" s="7" t="s">
        <v>68</v>
      </c>
      <c r="C39" s="80">
        <f>C40+C41+C44</f>
        <v>990703000000</v>
      </c>
      <c r="D39" s="80">
        <f t="shared" ref="D39" si="11">D40+D41+D44</f>
        <v>990703000000</v>
      </c>
      <c r="E39" s="80">
        <f>E40+E41</f>
        <v>204239000000</v>
      </c>
      <c r="F39" s="80">
        <f>F40+F41</f>
        <v>204239000000</v>
      </c>
      <c r="G39" s="84">
        <f t="shared" si="4"/>
        <v>0.20615562888171329</v>
      </c>
      <c r="H39" s="84">
        <f t="shared" si="5"/>
        <v>0.20615562888171329</v>
      </c>
      <c r="I39" s="84">
        <f>E39/399152000000</f>
        <v>0.5116822664047781</v>
      </c>
      <c r="J39" s="80">
        <v>654524000000</v>
      </c>
      <c r="K39" s="80">
        <v>654524000000</v>
      </c>
      <c r="L39" s="80">
        <v>439931000000</v>
      </c>
      <c r="M39" s="6">
        <f>(J39/C39)*100%</f>
        <v>0.66066621378960189</v>
      </c>
      <c r="N39" s="6">
        <f>(K39/D39)*100%</f>
        <v>0.66066621378960189</v>
      </c>
      <c r="O39" s="6"/>
    </row>
    <row r="40" spans="1:15">
      <c r="A40" s="4"/>
      <c r="B40" s="10" t="s">
        <v>69</v>
      </c>
      <c r="C40" s="5">
        <v>806824000000</v>
      </c>
      <c r="D40" s="5">
        <f>C40</f>
        <v>806824000000</v>
      </c>
      <c r="E40" s="5">
        <v>134470000000</v>
      </c>
      <c r="F40" s="5">
        <f>E40</f>
        <v>134470000000</v>
      </c>
      <c r="G40" s="84">
        <f t="shared" si="4"/>
        <v>0.16666584038154542</v>
      </c>
      <c r="H40" s="84">
        <f t="shared" si="5"/>
        <v>0.16666584038154542</v>
      </c>
      <c r="I40" s="84"/>
      <c r="J40" s="5">
        <v>470645000000</v>
      </c>
      <c r="K40" s="5">
        <v>470645000000</v>
      </c>
      <c r="L40" s="5">
        <v>333205000000</v>
      </c>
      <c r="M40" s="6">
        <f>(J40/C40)*100%</f>
        <v>0.58333044133540901</v>
      </c>
      <c r="N40" s="6">
        <f>(K40/D40)*100%</f>
        <v>0.58333044133540901</v>
      </c>
      <c r="O40" s="6"/>
    </row>
    <row r="41" spans="1:15">
      <c r="A41" s="4"/>
      <c r="B41" s="10" t="s">
        <v>138</v>
      </c>
      <c r="C41" s="5">
        <f>C42+C43</f>
        <v>92269000000</v>
      </c>
      <c r="D41" s="5">
        <f t="shared" ref="D41" si="12">D42+D43</f>
        <v>92269000000</v>
      </c>
      <c r="E41" s="5">
        <v>69769000000</v>
      </c>
      <c r="F41" s="5">
        <f>E41</f>
        <v>69769000000</v>
      </c>
      <c r="G41" s="84"/>
      <c r="H41" s="84"/>
      <c r="I41" s="84"/>
      <c r="J41" s="80">
        <v>92269000000</v>
      </c>
      <c r="K41" s="80">
        <v>92269000000</v>
      </c>
      <c r="L41" s="5">
        <v>333205000000</v>
      </c>
      <c r="M41" s="6"/>
      <c r="N41" s="6"/>
      <c r="O41" s="6"/>
    </row>
    <row r="42" spans="1:15">
      <c r="A42" s="4"/>
      <c r="B42" s="10" t="s">
        <v>70</v>
      </c>
      <c r="C42" s="5">
        <v>22500000000</v>
      </c>
      <c r="D42" s="5">
        <f>C42</f>
        <v>22500000000</v>
      </c>
      <c r="E42" s="5">
        <v>0</v>
      </c>
      <c r="F42" s="5"/>
      <c r="G42" s="5"/>
      <c r="H42" s="5"/>
      <c r="I42" s="5"/>
      <c r="J42" s="5">
        <v>22500000000</v>
      </c>
      <c r="K42" s="5">
        <v>22500000000</v>
      </c>
      <c r="L42" s="5"/>
      <c r="M42" s="6"/>
      <c r="N42" s="6"/>
      <c r="O42" s="6"/>
    </row>
    <row r="43" spans="1:15">
      <c r="A43" s="4"/>
      <c r="B43" s="10" t="s">
        <v>71</v>
      </c>
      <c r="C43" s="5">
        <v>69769000000</v>
      </c>
      <c r="D43" s="5">
        <f>C43</f>
        <v>69769000000</v>
      </c>
      <c r="E43" s="5">
        <v>69769000000</v>
      </c>
      <c r="F43" s="5">
        <f>E43</f>
        <v>69769000000</v>
      </c>
      <c r="G43" s="5"/>
      <c r="H43" s="5"/>
      <c r="I43" s="5"/>
      <c r="J43" s="5">
        <v>69769000000</v>
      </c>
      <c r="K43" s="5">
        <v>69769000000</v>
      </c>
      <c r="L43" s="5"/>
      <c r="M43" s="6"/>
      <c r="N43" s="6"/>
      <c r="O43" s="6"/>
    </row>
    <row r="44" spans="1:15">
      <c r="A44" s="79"/>
      <c r="B44" s="10" t="s">
        <v>139</v>
      </c>
      <c r="C44" s="5">
        <v>91610000000</v>
      </c>
      <c r="D44" s="5">
        <f>C44</f>
        <v>91610000000</v>
      </c>
      <c r="E44" s="5">
        <v>0</v>
      </c>
      <c r="F44" s="5">
        <v>0</v>
      </c>
      <c r="G44" s="5"/>
      <c r="H44" s="5"/>
      <c r="I44" s="5"/>
      <c r="J44" s="5">
        <v>91610000000</v>
      </c>
      <c r="K44" s="5">
        <v>91610000000</v>
      </c>
      <c r="L44" s="5">
        <v>106726000000</v>
      </c>
      <c r="M44" s="6">
        <f>(J44/C44)*100%</f>
        <v>1</v>
      </c>
      <c r="N44" s="6">
        <f>(K44/D44)*100%</f>
        <v>1</v>
      </c>
      <c r="O44" s="6"/>
    </row>
    <row r="45" spans="1:15" s="65" customFormat="1">
      <c r="A45" s="79" t="s">
        <v>11</v>
      </c>
      <c r="B45" s="12" t="s">
        <v>140</v>
      </c>
      <c r="C45" s="80"/>
      <c r="D45" s="80"/>
      <c r="E45" s="80">
        <v>1138723730244</v>
      </c>
      <c r="F45" s="80">
        <f>E45</f>
        <v>1138723730244</v>
      </c>
      <c r="G45" s="80"/>
      <c r="H45" s="80"/>
      <c r="I45" s="80"/>
      <c r="J45" s="80">
        <v>1138723730244</v>
      </c>
      <c r="K45" s="80">
        <v>1138723730244</v>
      </c>
      <c r="L45" s="3"/>
      <c r="M45" s="6"/>
      <c r="N45" s="6"/>
      <c r="O45" s="6"/>
    </row>
    <row r="46" spans="1:15" s="65" customFormat="1">
      <c r="A46" s="79" t="s">
        <v>45</v>
      </c>
      <c r="B46" s="12" t="s">
        <v>141</v>
      </c>
      <c r="C46" s="80"/>
      <c r="D46" s="80"/>
      <c r="E46" s="80"/>
      <c r="F46" s="80"/>
      <c r="G46" s="80"/>
      <c r="H46" s="80"/>
      <c r="I46" s="80"/>
      <c r="J46" s="80"/>
      <c r="K46" s="80"/>
      <c r="L46" s="3"/>
      <c r="M46" s="6"/>
      <c r="N46" s="6"/>
      <c r="O46" s="6"/>
    </row>
    <row r="47" spans="1:15" s="65" customFormat="1">
      <c r="A47" s="79" t="s">
        <v>142</v>
      </c>
      <c r="B47" s="12" t="s">
        <v>143</v>
      </c>
      <c r="C47" s="80"/>
      <c r="D47" s="80"/>
      <c r="E47" s="80"/>
      <c r="F47" s="80"/>
      <c r="G47" s="80"/>
      <c r="H47" s="80"/>
      <c r="I47" s="80"/>
      <c r="J47" s="80"/>
      <c r="K47" s="80"/>
      <c r="L47" s="3"/>
      <c r="M47" s="6"/>
      <c r="N47" s="6"/>
      <c r="O47" s="6"/>
    </row>
    <row r="48" spans="1:15" ht="27" customHeight="1">
      <c r="A48" s="79" t="s">
        <v>144</v>
      </c>
      <c r="B48" s="7" t="s">
        <v>72</v>
      </c>
      <c r="C48" s="80">
        <f>C49</f>
        <v>0</v>
      </c>
      <c r="D48" s="80">
        <f>D49</f>
        <v>28879000000</v>
      </c>
      <c r="E48" s="80"/>
      <c r="F48" s="80"/>
      <c r="G48" s="80"/>
      <c r="H48" s="80"/>
      <c r="I48" s="80"/>
      <c r="J48" s="80">
        <f t="shared" ref="J48:K48" si="13">J49</f>
        <v>0</v>
      </c>
      <c r="K48" s="80">
        <f t="shared" si="13"/>
        <v>0</v>
      </c>
      <c r="M48" s="6"/>
      <c r="N48" s="6"/>
      <c r="O48" s="6"/>
    </row>
    <row r="49" spans="1:15">
      <c r="A49" s="4"/>
      <c r="B49" s="10" t="s">
        <v>145</v>
      </c>
      <c r="C49" s="5">
        <v>0</v>
      </c>
      <c r="D49" s="5">
        <v>28879000000</v>
      </c>
      <c r="E49" s="5"/>
      <c r="F49" s="5"/>
      <c r="G49" s="5"/>
      <c r="H49" s="5"/>
      <c r="I49" s="5"/>
      <c r="J49" s="5"/>
      <c r="K49" s="5"/>
      <c r="M49" s="11"/>
      <c r="N49" s="11"/>
      <c r="O49" s="11"/>
    </row>
    <row r="50" spans="1:15" ht="29.25" customHeight="1">
      <c r="A50" s="13" t="s">
        <v>146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5">
      <c r="A51" s="1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5">
      <c r="A52" s="1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5">
      <c r="A53" s="1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5">
      <c r="A54" s="1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5">
      <c r="A55" s="1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5">
      <c r="A56" s="1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5">
      <c r="A57" s="1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5">
      <c r="A58" s="1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5">
      <c r="A59" s="1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5">
      <c r="A60" s="1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5">
      <c r="A61" s="1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5">
      <c r="A62" s="1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5">
      <c r="A63" s="1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5">
      <c r="A64" s="13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5">
      <c r="A65" s="13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5">
      <c r="A66" s="13"/>
    </row>
    <row r="67" spans="1:15">
      <c r="A67" s="13"/>
    </row>
    <row r="68" spans="1:15">
      <c r="A68" s="13"/>
    </row>
    <row r="69" spans="1:15">
      <c r="A69" s="13"/>
    </row>
    <row r="70" spans="1:15">
      <c r="A70" s="13"/>
    </row>
    <row r="71" spans="1:15">
      <c r="A71" s="13"/>
      <c r="L71" s="15"/>
    </row>
    <row r="72" spans="1:15">
      <c r="A72" s="13"/>
      <c r="L72" s="15"/>
    </row>
    <row r="73" spans="1:15">
      <c r="A73" s="13"/>
    </row>
    <row r="74" spans="1:15">
      <c r="A74" s="13"/>
    </row>
    <row r="75" spans="1:15">
      <c r="A75" s="13"/>
    </row>
    <row r="76" spans="1:15">
      <c r="A76" s="13"/>
      <c r="C76" s="14"/>
      <c r="D76" s="15"/>
      <c r="E76" s="15"/>
      <c r="F76" s="15"/>
      <c r="G76" s="15"/>
      <c r="H76" s="15"/>
      <c r="I76" s="15"/>
      <c r="J76" s="15"/>
      <c r="K76" s="15"/>
      <c r="M76" s="61"/>
      <c r="N76" s="61"/>
      <c r="O76" s="61"/>
    </row>
    <row r="77" spans="1:15">
      <c r="A77" s="2" t="s">
        <v>73</v>
      </c>
      <c r="C77" s="15"/>
      <c r="D77" s="15"/>
      <c r="E77" s="15"/>
      <c r="F77" s="15"/>
      <c r="G77" s="15"/>
      <c r="H77" s="15"/>
      <c r="I77" s="15"/>
      <c r="J77" s="15"/>
      <c r="K77" s="15"/>
      <c r="M77" s="16"/>
      <c r="N77" s="16"/>
      <c r="O77" s="16"/>
    </row>
    <row r="78" spans="1:15">
      <c r="A78" s="78"/>
    </row>
    <row r="79" spans="1:15">
      <c r="A79" s="78"/>
    </row>
    <row r="80" spans="1:15">
      <c r="A80" s="78"/>
    </row>
    <row r="81" spans="1:12">
      <c r="A81" s="78"/>
    </row>
    <row r="82" spans="1:12">
      <c r="E82" s="2"/>
      <c r="F82" s="2"/>
      <c r="G82" s="2"/>
      <c r="H82" s="2"/>
      <c r="I82" s="2"/>
      <c r="J82" s="2"/>
      <c r="K82" s="2"/>
      <c r="L82" s="2"/>
    </row>
    <row r="83" spans="1:12">
      <c r="E83" s="2"/>
      <c r="F83" s="2"/>
      <c r="G83" s="2"/>
      <c r="H83" s="2"/>
      <c r="I83" s="2"/>
      <c r="J83" s="2"/>
      <c r="K83" s="2"/>
      <c r="L83" s="2"/>
    </row>
    <row r="84" spans="1:12">
      <c r="E84" s="2"/>
      <c r="F84" s="2"/>
      <c r="G84" s="2"/>
      <c r="H84" s="2"/>
      <c r="I84" s="2"/>
      <c r="J84" s="2"/>
      <c r="K84" s="2"/>
      <c r="L84" s="2"/>
    </row>
    <row r="85" spans="1:12">
      <c r="E85" s="2"/>
      <c r="F85" s="2"/>
      <c r="G85" s="2"/>
      <c r="H85" s="2"/>
      <c r="I85" s="2"/>
      <c r="J85" s="2"/>
      <c r="K85" s="2"/>
      <c r="L85" s="2"/>
    </row>
    <row r="86" spans="1:12">
      <c r="E86" s="2"/>
      <c r="F86" s="2"/>
      <c r="G86" s="2"/>
      <c r="H86" s="2"/>
      <c r="I86" s="2"/>
      <c r="J86" s="2"/>
      <c r="K86" s="2"/>
      <c r="L86" s="2"/>
    </row>
    <row r="87" spans="1:12">
      <c r="E87" s="2"/>
      <c r="F87" s="2"/>
      <c r="G87" s="2"/>
      <c r="H87" s="2"/>
      <c r="I87" s="2"/>
      <c r="J87" s="2"/>
      <c r="K87" s="2"/>
      <c r="L87" s="2"/>
    </row>
    <row r="88" spans="1:12">
      <c r="E88" s="2"/>
      <c r="F88" s="2"/>
      <c r="G88" s="2"/>
      <c r="H88" s="2"/>
      <c r="I88" s="2"/>
      <c r="J88" s="2"/>
      <c r="K88" s="2"/>
      <c r="L88" s="2"/>
    </row>
    <row r="89" spans="1:12">
      <c r="E89" s="2"/>
      <c r="F89" s="2"/>
      <c r="G89" s="2"/>
      <c r="H89" s="2"/>
      <c r="I89" s="2"/>
      <c r="J89" s="2"/>
      <c r="K89" s="2"/>
      <c r="L89" s="2"/>
    </row>
    <row r="90" spans="1:12">
      <c r="E90" s="2"/>
      <c r="F90" s="2"/>
      <c r="G90" s="2"/>
      <c r="H90" s="2"/>
      <c r="I90" s="2"/>
      <c r="J90" s="2"/>
      <c r="K90" s="2"/>
      <c r="L90" s="2"/>
    </row>
    <row r="92" spans="1:12">
      <c r="E92" s="2"/>
      <c r="F92" s="2"/>
      <c r="G92" s="2"/>
      <c r="H92" s="2"/>
      <c r="I92" s="2"/>
      <c r="J92" s="2"/>
      <c r="K92" s="2"/>
      <c r="L92" s="2"/>
    </row>
    <row r="93" spans="1:12">
      <c r="E93" s="2"/>
      <c r="F93" s="2"/>
      <c r="G93" s="2"/>
      <c r="H93" s="2"/>
      <c r="I93" s="2"/>
      <c r="J93" s="2"/>
      <c r="K93" s="2"/>
      <c r="L93" s="2"/>
    </row>
    <row r="94" spans="1:12">
      <c r="E94" s="2"/>
      <c r="F94" s="2"/>
      <c r="G94" s="2"/>
      <c r="H94" s="2"/>
      <c r="I94" s="2"/>
      <c r="J94" s="2"/>
      <c r="K94" s="2"/>
      <c r="L94" s="2"/>
    </row>
    <row r="95" spans="1:12">
      <c r="E95" s="2"/>
      <c r="F95" s="2"/>
      <c r="G95" s="2"/>
      <c r="H95" s="2"/>
      <c r="I95" s="2"/>
      <c r="J95" s="2"/>
      <c r="K95" s="2"/>
      <c r="L95" s="2"/>
    </row>
    <row r="96" spans="1:12">
      <c r="E96" s="2"/>
      <c r="F96" s="2"/>
      <c r="G96" s="2"/>
      <c r="H96" s="2"/>
      <c r="I96" s="2"/>
      <c r="J96" s="2"/>
      <c r="K96" s="2"/>
      <c r="L96" s="2"/>
    </row>
    <row r="97" spans="3:12">
      <c r="E97" s="2"/>
      <c r="F97" s="2"/>
      <c r="G97" s="2"/>
      <c r="H97" s="2"/>
      <c r="I97" s="2"/>
      <c r="J97" s="2"/>
      <c r="K97" s="2"/>
      <c r="L97" s="2"/>
    </row>
    <row r="98" spans="3:12">
      <c r="C98" s="2"/>
      <c r="D98" s="2"/>
      <c r="E98" s="2"/>
      <c r="F98" s="2"/>
      <c r="G98" s="2"/>
      <c r="H98" s="2"/>
      <c r="I98" s="2"/>
      <c r="J98" s="2"/>
      <c r="K98" s="2"/>
      <c r="L98" s="2"/>
    </row>
  </sheetData>
  <mergeCells count="8">
    <mergeCell ref="A4:N4"/>
    <mergeCell ref="C1:M1"/>
    <mergeCell ref="C2:M2"/>
    <mergeCell ref="A6:A7"/>
    <mergeCell ref="B6:B7"/>
    <mergeCell ref="C6:D6"/>
    <mergeCell ref="E6:K6"/>
    <mergeCell ref="M6:O6"/>
  </mergeCells>
  <pageMargins left="0.7" right="0.7" top="0.75" bottom="0.75" header="0.3" footer="0.3"/>
  <pageSetup paperSize="9"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70"/>
  <sheetViews>
    <sheetView tabSelected="1" workbookViewId="0">
      <selection activeCell="D3" sqref="D3"/>
    </sheetView>
  </sheetViews>
  <sheetFormatPr defaultRowHeight="15.75"/>
  <cols>
    <col min="1" max="1" width="5.875" customWidth="1"/>
    <col min="2" max="2" width="43.75" customWidth="1"/>
    <col min="3" max="3" width="19.25" style="1" customWidth="1"/>
    <col min="4" max="4" width="17" customWidth="1"/>
    <col min="5" max="5" width="17.125" customWidth="1"/>
    <col min="6" max="6" width="7.25" customWidth="1"/>
    <col min="7" max="7" width="8.125" style="89" customWidth="1"/>
    <col min="8" max="8" width="7.125" style="91" customWidth="1"/>
    <col min="9" max="9" width="18.125" customWidth="1"/>
    <col min="10" max="10" width="7.625" style="93" customWidth="1"/>
    <col min="11" max="11" width="7.75" customWidth="1"/>
    <col min="12" max="12" width="7" style="201" customWidth="1"/>
    <col min="13" max="13" width="15.75" customWidth="1"/>
    <col min="14" max="14" width="15.625" hidden="1" customWidth="1"/>
  </cols>
  <sheetData>
    <row r="1" spans="1:14" ht="22.5" customHeight="1">
      <c r="A1" s="256" t="s">
        <v>28</v>
      </c>
      <c r="B1" s="256"/>
      <c r="C1" s="17"/>
      <c r="D1" s="230" t="s">
        <v>12</v>
      </c>
      <c r="E1" s="230"/>
      <c r="F1" s="230"/>
      <c r="G1" s="230"/>
      <c r="H1" s="230"/>
      <c r="I1" s="230"/>
      <c r="J1" s="230"/>
      <c r="K1" s="230"/>
      <c r="L1" s="200"/>
    </row>
    <row r="2" spans="1:14" ht="20.25" customHeight="1">
      <c r="A2" s="257" t="s">
        <v>29</v>
      </c>
      <c r="B2" s="257"/>
      <c r="C2" s="18"/>
      <c r="D2" s="258" t="s">
        <v>49</v>
      </c>
      <c r="E2" s="258"/>
      <c r="F2" s="258"/>
      <c r="G2" s="258"/>
      <c r="H2" s="258"/>
      <c r="I2" s="258"/>
      <c r="J2" s="258"/>
      <c r="K2" s="258"/>
    </row>
    <row r="3" spans="1:14" ht="17.25" customHeight="1">
      <c r="G3" s="91"/>
      <c r="J3" s="91"/>
    </row>
    <row r="4" spans="1:14" ht="28.5" customHeight="1">
      <c r="A4" s="249" t="s">
        <v>171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4" ht="16.5" customHeight="1">
      <c r="A5" s="249"/>
      <c r="B5" s="249"/>
      <c r="C5" s="249"/>
      <c r="D5" s="249"/>
      <c r="G5" s="91"/>
      <c r="I5" s="1"/>
      <c r="J5" s="124"/>
      <c r="M5" s="19"/>
    </row>
    <row r="6" spans="1:14" ht="22.5" customHeight="1">
      <c r="D6" s="19"/>
      <c r="E6" s="19"/>
      <c r="G6" s="90"/>
      <c r="I6" s="66"/>
      <c r="J6" s="123"/>
    </row>
    <row r="7" spans="1:14" s="20" customFormat="1" ht="26.25" customHeight="1">
      <c r="A7" s="250" t="s">
        <v>0</v>
      </c>
      <c r="B7" s="252" t="s">
        <v>74</v>
      </c>
      <c r="C7" s="263" t="s">
        <v>147</v>
      </c>
      <c r="D7" s="243" t="s">
        <v>148</v>
      </c>
      <c r="E7" s="245" t="s">
        <v>172</v>
      </c>
      <c r="F7" s="247" t="s">
        <v>75</v>
      </c>
      <c r="G7" s="254" t="s">
        <v>149</v>
      </c>
      <c r="H7" s="261" t="s">
        <v>153</v>
      </c>
      <c r="I7" s="245" t="s">
        <v>173</v>
      </c>
      <c r="J7" s="259" t="s">
        <v>75</v>
      </c>
      <c r="K7" s="243" t="s">
        <v>149</v>
      </c>
      <c r="L7" s="240" t="s">
        <v>153</v>
      </c>
      <c r="N7" s="241" t="s">
        <v>155</v>
      </c>
    </row>
    <row r="8" spans="1:14" s="20" customFormat="1" ht="43.5" customHeight="1">
      <c r="A8" s="251"/>
      <c r="B8" s="253"/>
      <c r="C8" s="264"/>
      <c r="D8" s="244"/>
      <c r="E8" s="246"/>
      <c r="F8" s="248"/>
      <c r="G8" s="255"/>
      <c r="H8" s="262"/>
      <c r="I8" s="246"/>
      <c r="J8" s="260"/>
      <c r="K8" s="244"/>
      <c r="L8" s="240"/>
      <c r="N8" s="242"/>
    </row>
    <row r="9" spans="1:14" s="20" customFormat="1" ht="30" customHeight="1">
      <c r="A9" s="21"/>
      <c r="B9" s="22" t="s">
        <v>76</v>
      </c>
      <c r="C9" s="217">
        <f>C10+C56+C57+C58</f>
        <v>3019082000000</v>
      </c>
      <c r="D9" s="217">
        <f>D10+D56+D57+D58</f>
        <v>3466481000000</v>
      </c>
      <c r="E9" s="208">
        <f>E10+E52+E56</f>
        <v>693994329900</v>
      </c>
      <c r="F9" s="24">
        <f t="shared" ref="F9:F15" si="0">E9/C9*100%</f>
        <v>0.22986932117113745</v>
      </c>
      <c r="G9" s="24">
        <f t="shared" ref="G9:G32" si="1">E9/D9*100%</f>
        <v>0.2002013944112199</v>
      </c>
      <c r="H9" s="209">
        <f>E9/1479154149849</f>
        <v>0.46918323554772617</v>
      </c>
      <c r="I9" s="208">
        <f>I10+I52+I56+I58</f>
        <v>1803381359615</v>
      </c>
      <c r="J9" s="24">
        <f t="shared" ref="J9:J15" si="2">I9/C9*100%</f>
        <v>0.59732771737071066</v>
      </c>
      <c r="K9" s="24">
        <f t="shared" ref="K9:K32" si="3">I9/D9*100%</f>
        <v>0.52023402396118712</v>
      </c>
      <c r="L9" s="202">
        <f>I9/3626132584430</f>
        <v>0.49732912893434028</v>
      </c>
      <c r="N9" s="23" t="e">
        <f>N10+N52+N56+#REF!+#REF!+N61+N58</f>
        <v>#REF!</v>
      </c>
    </row>
    <row r="10" spans="1:14" s="29" customFormat="1" ht="26.25" customHeight="1">
      <c r="A10" s="26" t="s">
        <v>1</v>
      </c>
      <c r="B10" s="27" t="s">
        <v>77</v>
      </c>
      <c r="C10" s="68">
        <f>C11+C18+C45+C46+C47+C48+C51</f>
        <v>3019082000000</v>
      </c>
      <c r="D10" s="68">
        <f>D11+D18+D45+D46+D47+D48+D51</f>
        <v>3466481000000</v>
      </c>
      <c r="E10" s="28">
        <f>E11+E18+E45+E46</f>
        <v>660195714291</v>
      </c>
      <c r="F10" s="70">
        <f t="shared" si="0"/>
        <v>0.21867432361592035</v>
      </c>
      <c r="G10" s="210">
        <f t="shared" si="1"/>
        <v>0.19045127156069802</v>
      </c>
      <c r="H10" s="24">
        <f>E10/1113869314380</f>
        <v>0.59270482252083312</v>
      </c>
      <c r="I10" s="28">
        <f>I11+I18+I45+I46</f>
        <v>1657524714291</v>
      </c>
      <c r="J10" s="24">
        <f t="shared" si="2"/>
        <v>0.54901612950261036</v>
      </c>
      <c r="K10" s="24">
        <f t="shared" si="3"/>
        <v>0.47815773814741808</v>
      </c>
      <c r="L10" s="203">
        <f>I10/2787049584430</f>
        <v>0.59472379808053988</v>
      </c>
      <c r="N10" s="68">
        <f t="shared" ref="N10" si="4">N11+N18+N45+N47+N46</f>
        <v>569953922630</v>
      </c>
    </row>
    <row r="11" spans="1:14" s="20" customFormat="1" ht="26.25" hidden="1" customHeight="1">
      <c r="A11" s="21" t="s">
        <v>5</v>
      </c>
      <c r="B11" s="21" t="s">
        <v>78</v>
      </c>
      <c r="C11" s="94">
        <f>SUM(C13:C15)</f>
        <v>600867000000</v>
      </c>
      <c r="D11" s="67">
        <f>D12</f>
        <v>855441000000</v>
      </c>
      <c r="E11" s="208">
        <f>E12</f>
        <v>121484000000</v>
      </c>
      <c r="F11" s="112">
        <f t="shared" si="0"/>
        <v>0.20218118152602824</v>
      </c>
      <c r="G11" s="211">
        <f t="shared" si="1"/>
        <v>0.14201330074195648</v>
      </c>
      <c r="H11" s="209">
        <f>E11/101899809589</f>
        <v>1.1921906477547932</v>
      </c>
      <c r="I11" s="95">
        <f>I12+I17</f>
        <v>262156000000</v>
      </c>
      <c r="J11" s="209">
        <f t="shared" si="2"/>
        <v>0.43629621863074525</v>
      </c>
      <c r="K11" s="24">
        <f t="shared" si="3"/>
        <v>0.30645713731280122</v>
      </c>
      <c r="L11" s="203"/>
      <c r="M11" s="25"/>
      <c r="N11" s="30">
        <f t="shared" ref="N11" si="5">N12</f>
        <v>134488000000</v>
      </c>
    </row>
    <row r="12" spans="1:14" s="20" customFormat="1" ht="26.25" customHeight="1">
      <c r="A12" s="126">
        <v>1</v>
      </c>
      <c r="B12" s="127" t="s">
        <v>79</v>
      </c>
      <c r="C12" s="128">
        <f>SUM(C13:C15)</f>
        <v>600867000000</v>
      </c>
      <c r="D12" s="128">
        <f>SUM(D13:D16)</f>
        <v>855441000000</v>
      </c>
      <c r="E12" s="128">
        <f>SUM(E13:E16)</f>
        <v>121484000000</v>
      </c>
      <c r="F12" s="24">
        <f t="shared" si="0"/>
        <v>0.20218118152602824</v>
      </c>
      <c r="G12" s="24">
        <f t="shared" si="1"/>
        <v>0.14201330074195648</v>
      </c>
      <c r="H12" s="24">
        <f>E12/162510571234</f>
        <v>0.74754521553600606</v>
      </c>
      <c r="I12" s="128">
        <f>SUM(I13:I16)</f>
        <v>262156000000</v>
      </c>
      <c r="J12" s="24">
        <f t="shared" si="2"/>
        <v>0.43629621863074525</v>
      </c>
      <c r="K12" s="24">
        <f t="shared" si="3"/>
        <v>0.30645713731280122</v>
      </c>
      <c r="L12" s="203">
        <f>I12/468210000000</f>
        <v>0.55991115097926147</v>
      </c>
      <c r="N12" s="30">
        <f>SUM(N13:N15)</f>
        <v>134488000000</v>
      </c>
    </row>
    <row r="13" spans="1:14" s="20" customFormat="1" ht="26.25" customHeight="1">
      <c r="A13" s="125"/>
      <c r="B13" s="129" t="s">
        <v>80</v>
      </c>
      <c r="C13" s="130">
        <v>239257000000</v>
      </c>
      <c r="D13" s="130">
        <v>239257000000</v>
      </c>
      <c r="E13" s="38">
        <v>3283000000</v>
      </c>
      <c r="F13" s="70">
        <f t="shared" si="0"/>
        <v>1.3721646597591711E-2</v>
      </c>
      <c r="G13" s="70">
        <f t="shared" si="1"/>
        <v>1.3721646597591711E-2</v>
      </c>
      <c r="H13" s="70">
        <f>E13/12577629678</f>
        <v>0.26101897448470895</v>
      </c>
      <c r="I13" s="38">
        <v>43422000000</v>
      </c>
      <c r="J13" s="70">
        <f t="shared" si="2"/>
        <v>0.18148685304923157</v>
      </c>
      <c r="K13" s="121">
        <f t="shared" si="3"/>
        <v>0.18148685304923157</v>
      </c>
      <c r="L13" s="203">
        <f>I13/123093000000</f>
        <v>0.35275767102922179</v>
      </c>
      <c r="M13" s="25"/>
      <c r="N13" s="31">
        <v>78561000000</v>
      </c>
    </row>
    <row r="14" spans="1:14" s="20" customFormat="1" ht="26.25" customHeight="1">
      <c r="A14" s="98"/>
      <c r="B14" s="131" t="s">
        <v>81</v>
      </c>
      <c r="C14" s="132">
        <v>270000000000</v>
      </c>
      <c r="D14" s="132">
        <v>284554000000</v>
      </c>
      <c r="E14" s="39">
        <v>35593000000</v>
      </c>
      <c r="F14" s="72">
        <f t="shared" si="0"/>
        <v>0.13182592592592593</v>
      </c>
      <c r="G14" s="72">
        <f t="shared" si="1"/>
        <v>0.12508346394708914</v>
      </c>
      <c r="H14" s="72">
        <f>E14/130767888723</f>
        <v>0.27218455805610753</v>
      </c>
      <c r="I14" s="39">
        <v>67258000000</v>
      </c>
      <c r="J14" s="72">
        <f t="shared" si="2"/>
        <v>0.24910370370370372</v>
      </c>
      <c r="K14" s="24">
        <f t="shared" si="3"/>
        <v>0.23636286961350042</v>
      </c>
      <c r="L14" s="203">
        <f>I14/286139000000</f>
        <v>0.2350535928342519</v>
      </c>
      <c r="N14" s="31">
        <v>52225000000</v>
      </c>
    </row>
    <row r="15" spans="1:14" s="20" customFormat="1" ht="26.25" customHeight="1">
      <c r="A15" s="98"/>
      <c r="B15" s="131" t="s">
        <v>82</v>
      </c>
      <c r="C15" s="132">
        <v>91610000000</v>
      </c>
      <c r="D15" s="132">
        <v>93943000000</v>
      </c>
      <c r="E15" s="39">
        <v>11369000000</v>
      </c>
      <c r="F15" s="72">
        <f t="shared" si="0"/>
        <v>0.12410217225193756</v>
      </c>
      <c r="G15" s="72">
        <f t="shared" si="1"/>
        <v>0.12102019309581342</v>
      </c>
      <c r="H15" s="72">
        <f>E15/19165052833</f>
        <v>0.59321516611860836</v>
      </c>
      <c r="I15" s="39">
        <v>19748000000</v>
      </c>
      <c r="J15" s="72">
        <f t="shared" si="2"/>
        <v>0.21556598624604301</v>
      </c>
      <c r="K15" s="24">
        <f t="shared" si="3"/>
        <v>0.21021257571080337</v>
      </c>
      <c r="L15" s="203">
        <f>I15/58978000000</f>
        <v>0.3348367187764929</v>
      </c>
      <c r="M15" s="69"/>
      <c r="N15" s="31">
        <v>3702000000</v>
      </c>
    </row>
    <row r="16" spans="1:14" s="20" customFormat="1" ht="26.25" customHeight="1">
      <c r="A16" s="98"/>
      <c r="B16" s="133" t="s">
        <v>162</v>
      </c>
      <c r="C16" s="132">
        <v>0</v>
      </c>
      <c r="D16" s="132">
        <v>237687000000</v>
      </c>
      <c r="E16" s="39">
        <v>71239000000</v>
      </c>
      <c r="F16" s="72"/>
      <c r="G16" s="72">
        <f t="shared" si="1"/>
        <v>0.29971769596149556</v>
      </c>
      <c r="H16" s="72"/>
      <c r="I16" s="39">
        <v>131728000000</v>
      </c>
      <c r="J16" s="72">
        <v>0</v>
      </c>
      <c r="K16" s="24">
        <f t="shared" si="3"/>
        <v>0.55420784477064378</v>
      </c>
      <c r="L16" s="203"/>
      <c r="M16" s="69"/>
      <c r="N16" s="31"/>
    </row>
    <row r="17" spans="1:14" s="20" customFormat="1" ht="26.25" hidden="1" customHeight="1">
      <c r="A17" s="116">
        <v>1</v>
      </c>
      <c r="B17" s="134" t="s">
        <v>154</v>
      </c>
      <c r="C17" s="135"/>
      <c r="D17" s="103"/>
      <c r="E17" s="117"/>
      <c r="F17" s="112" t="e">
        <f>E17/C17*100%</f>
        <v>#DIV/0!</v>
      </c>
      <c r="G17" s="112" t="e">
        <f t="shared" si="1"/>
        <v>#DIV/0!</v>
      </c>
      <c r="H17" s="112"/>
      <c r="I17" s="117">
        <v>0</v>
      </c>
      <c r="J17" s="112" t="e">
        <f>I17/C17*100%</f>
        <v>#DIV/0!</v>
      </c>
      <c r="K17" s="24" t="e">
        <f t="shared" si="3"/>
        <v>#DIV/0!</v>
      </c>
      <c r="L17" s="206"/>
      <c r="N17" s="32"/>
    </row>
    <row r="18" spans="1:14" s="20" customFormat="1" ht="26.25" customHeight="1">
      <c r="A18" s="33" t="s">
        <v>8</v>
      </c>
      <c r="B18" s="127" t="s">
        <v>83</v>
      </c>
      <c r="C18" s="128">
        <v>2359015000000</v>
      </c>
      <c r="D18" s="35">
        <f>D19+D32</f>
        <v>2486732000000</v>
      </c>
      <c r="E18" s="35">
        <f>E19+E32</f>
        <v>487948151992</v>
      </c>
      <c r="F18" s="24">
        <f>E18/C18*100%</f>
        <v>0.20684402260774093</v>
      </c>
      <c r="G18" s="24">
        <f t="shared" si="1"/>
        <v>0.196220642993294</v>
      </c>
      <c r="H18" s="24">
        <f>E18/954096083146</f>
        <v>0.51142454162798612</v>
      </c>
      <c r="I18" s="28">
        <f t="shared" ref="I18" si="6">I19+I32</f>
        <v>1334605151992</v>
      </c>
      <c r="J18" s="24">
        <f>I18/C18*100%</f>
        <v>0.56574678498949771</v>
      </c>
      <c r="K18" s="24">
        <f t="shared" si="3"/>
        <v>0.53669038400277957</v>
      </c>
      <c r="L18" s="120">
        <f>I18/1813293880818</f>
        <v>0.73601150156087358</v>
      </c>
      <c r="M18" s="1"/>
      <c r="N18" s="28">
        <f t="shared" ref="N18" si="7">N19+N32</f>
        <v>424465922630</v>
      </c>
    </row>
    <row r="19" spans="1:14" s="20" customFormat="1" ht="26.25" customHeight="1">
      <c r="A19" s="33" t="s">
        <v>84</v>
      </c>
      <c r="B19" s="127" t="s">
        <v>85</v>
      </c>
      <c r="C19" s="128"/>
      <c r="D19" s="35">
        <f>SUM(D20:D31)</f>
        <v>2209144000000</v>
      </c>
      <c r="E19" s="35">
        <f>SUM(E20:E31)</f>
        <v>422419866454</v>
      </c>
      <c r="F19" s="24"/>
      <c r="G19" s="24">
        <f t="shared" si="1"/>
        <v>0.19121427415053072</v>
      </c>
      <c r="H19" s="24">
        <f>E19/613442977127</f>
        <v>0.6886049432538327</v>
      </c>
      <c r="I19" s="28">
        <f t="shared" ref="I19" si="8">SUM(I20:I31)</f>
        <v>1154281866454</v>
      </c>
      <c r="J19" s="24"/>
      <c r="K19" s="24">
        <f t="shared" si="3"/>
        <v>0.52250186789724884</v>
      </c>
      <c r="L19" s="207">
        <f>I19/1366847997864</f>
        <v>0.84448444030193459</v>
      </c>
      <c r="M19" s="1"/>
      <c r="N19" s="28">
        <f t="shared" ref="N19" si="9">SUM(N20:N31)</f>
        <v>377732607000</v>
      </c>
    </row>
    <row r="20" spans="1:14" s="20" customFormat="1" ht="26.25" customHeight="1">
      <c r="A20" s="118">
        <v>1</v>
      </c>
      <c r="B20" s="129" t="s">
        <v>86</v>
      </c>
      <c r="C20" s="130"/>
      <c r="D20" s="119">
        <v>8868000000</v>
      </c>
      <c r="E20" s="39">
        <v>663321476</v>
      </c>
      <c r="F20" s="70"/>
      <c r="G20" s="70">
        <f t="shared" si="1"/>
        <v>7.47994447451511E-2</v>
      </c>
      <c r="H20" s="70">
        <f>E20/749777015</f>
        <v>0.8846916652946476</v>
      </c>
      <c r="I20" s="38">
        <v>3501321476</v>
      </c>
      <c r="J20" s="70"/>
      <c r="K20" s="24">
        <f t="shared" si="3"/>
        <v>0.39482650834460981</v>
      </c>
      <c r="L20" s="203">
        <f>I20/4639723995</f>
        <v>0.75464003457386697</v>
      </c>
      <c r="N20" s="37">
        <v>10912000</v>
      </c>
    </row>
    <row r="21" spans="1:14" s="20" customFormat="1" ht="26.25" customHeight="1">
      <c r="A21" s="99">
        <v>2</v>
      </c>
      <c r="B21" s="131" t="s">
        <v>24</v>
      </c>
      <c r="C21" s="132"/>
      <c r="D21" s="59">
        <v>17790000000</v>
      </c>
      <c r="E21" s="40">
        <v>3914109689</v>
      </c>
      <c r="F21" s="72"/>
      <c r="G21" s="72">
        <f t="shared" si="1"/>
        <v>0.22001740803822373</v>
      </c>
      <c r="H21" s="72">
        <f>E21/6839135948</f>
        <v>0.5723105548361882</v>
      </c>
      <c r="I21" s="39">
        <v>13652109689</v>
      </c>
      <c r="J21" s="72"/>
      <c r="K21" s="24">
        <f t="shared" si="3"/>
        <v>0.76740358004496911</v>
      </c>
      <c r="L21" s="203">
        <f>I21/12824550002</f>
        <v>1.0645293352882512</v>
      </c>
      <c r="M21" s="69"/>
      <c r="N21" s="39">
        <v>3334023769</v>
      </c>
    </row>
    <row r="22" spans="1:14" s="20" customFormat="1" ht="26.25" customHeight="1">
      <c r="A22" s="99">
        <v>3</v>
      </c>
      <c r="B22" s="48" t="s">
        <v>87</v>
      </c>
      <c r="C22" s="136">
        <v>1027292000000</v>
      </c>
      <c r="D22" s="59">
        <v>1117571000000</v>
      </c>
      <c r="E22" s="40">
        <v>279337848101</v>
      </c>
      <c r="F22" s="72">
        <f>E22/C22*100%</f>
        <v>0.2719166975903638</v>
      </c>
      <c r="G22" s="72">
        <f t="shared" si="1"/>
        <v>0.24995087390510312</v>
      </c>
      <c r="H22" s="72">
        <f>E22/211782884974</f>
        <v>1.3189821648491262</v>
      </c>
      <c r="I22" s="40">
        <v>739085848101</v>
      </c>
      <c r="J22" s="72">
        <f>I22/C22*100%</f>
        <v>0.71945060226401059</v>
      </c>
      <c r="K22" s="24">
        <f t="shared" si="3"/>
        <v>0.66133234318088063</v>
      </c>
      <c r="L22" s="203">
        <f>I22/628622166245</f>
        <v>1.1757234914509007</v>
      </c>
      <c r="N22" s="40">
        <v>207927861514</v>
      </c>
    </row>
    <row r="23" spans="1:14" s="20" customFormat="1" ht="26.25" customHeight="1">
      <c r="A23" s="99">
        <v>4</v>
      </c>
      <c r="B23" s="48" t="s">
        <v>88</v>
      </c>
      <c r="C23" s="136"/>
      <c r="D23" s="59">
        <v>55388000000</v>
      </c>
      <c r="E23" s="40">
        <v>6708725105</v>
      </c>
      <c r="F23" s="72"/>
      <c r="G23" s="72">
        <f t="shared" si="1"/>
        <v>0.1211223569184661</v>
      </c>
      <c r="H23" s="72">
        <f>E23/29123996960</f>
        <v>0.23035042594648039</v>
      </c>
      <c r="I23" s="40">
        <v>7682725105</v>
      </c>
      <c r="J23" s="72"/>
      <c r="K23" s="24">
        <f t="shared" si="3"/>
        <v>0.13870739338845958</v>
      </c>
      <c r="L23" s="203">
        <f>I23/80221910001</f>
        <v>9.5768414201360091E-2</v>
      </c>
      <c r="N23" s="40">
        <v>29227127641</v>
      </c>
    </row>
    <row r="24" spans="1:14" s="20" customFormat="1" ht="26.25" customHeight="1">
      <c r="A24" s="99">
        <v>5</v>
      </c>
      <c r="B24" s="48" t="s">
        <v>89</v>
      </c>
      <c r="C24" s="136"/>
      <c r="D24" s="59">
        <v>59410000000</v>
      </c>
      <c r="E24" s="40">
        <v>2064235018</v>
      </c>
      <c r="F24" s="72"/>
      <c r="G24" s="72">
        <f t="shared" si="1"/>
        <v>3.4745581854906581E-2</v>
      </c>
      <c r="H24" s="72">
        <f>E24/2026743561</f>
        <v>1.018498372325654</v>
      </c>
      <c r="I24" s="40">
        <v>15359235018</v>
      </c>
      <c r="J24" s="72"/>
      <c r="K24" s="24">
        <f t="shared" si="3"/>
        <v>0.25852945662346405</v>
      </c>
      <c r="L24" s="203">
        <f>I24/6265701516</f>
        <v>2.4513192942209092</v>
      </c>
      <c r="N24" s="40">
        <v>1732550829</v>
      </c>
    </row>
    <row r="25" spans="1:14" s="20" customFormat="1" ht="26.25" customHeight="1">
      <c r="A25" s="99">
        <v>6</v>
      </c>
      <c r="B25" s="48" t="s">
        <v>90</v>
      </c>
      <c r="C25" s="136"/>
      <c r="D25" s="59">
        <v>116000000</v>
      </c>
      <c r="E25" s="40">
        <v>402927203</v>
      </c>
      <c r="F25" s="72"/>
      <c r="G25" s="72">
        <f t="shared" si="1"/>
        <v>3.4735103706896551</v>
      </c>
      <c r="H25" s="72">
        <f>E25/395114227</f>
        <v>1.0197739677948878</v>
      </c>
      <c r="I25" s="40">
        <v>921927203</v>
      </c>
      <c r="J25" s="72"/>
      <c r="K25" s="24">
        <f t="shared" si="3"/>
        <v>7.9476483017241382</v>
      </c>
      <c r="L25" s="203">
        <f>I25/978206421</f>
        <v>0.94246693050484487</v>
      </c>
      <c r="N25" s="40">
        <v>215897297</v>
      </c>
    </row>
    <row r="26" spans="1:14" s="20" customFormat="1" ht="26.25" customHeight="1">
      <c r="A26" s="99">
        <v>7</v>
      </c>
      <c r="B26" s="48" t="s">
        <v>91</v>
      </c>
      <c r="C26" s="136"/>
      <c r="D26" s="59">
        <v>2737000000</v>
      </c>
      <c r="E26" s="40">
        <v>504648769</v>
      </c>
      <c r="F26" s="72"/>
      <c r="G26" s="72">
        <f t="shared" si="1"/>
        <v>0.18438025904274755</v>
      </c>
      <c r="H26" s="72">
        <f>E26/257179786</f>
        <v>1.962241188737905</v>
      </c>
      <c r="I26" s="40">
        <v>1521648769</v>
      </c>
      <c r="J26" s="72"/>
      <c r="K26" s="24">
        <f t="shared" si="3"/>
        <v>0.55595497588600662</v>
      </c>
      <c r="L26" s="203">
        <f>I26/1239991781</f>
        <v>1.2271442378213635</v>
      </c>
      <c r="N26" s="40">
        <v>307167871</v>
      </c>
    </row>
    <row r="27" spans="1:14" s="20" customFormat="1" ht="26.25" customHeight="1">
      <c r="A27" s="99">
        <v>8</v>
      </c>
      <c r="B27" s="48" t="s">
        <v>92</v>
      </c>
      <c r="C27" s="136">
        <v>335205000000</v>
      </c>
      <c r="D27" s="59">
        <v>347264000000</v>
      </c>
      <c r="E27" s="40">
        <v>59829956500</v>
      </c>
      <c r="F27" s="72">
        <f>E27/C27*100%</f>
        <v>0.17848766128190213</v>
      </c>
      <c r="G27" s="72">
        <f t="shared" si="1"/>
        <v>0.17228954484196463</v>
      </c>
      <c r="H27" s="72">
        <f>E27/190284369206</f>
        <v>0.31442391589836088</v>
      </c>
      <c r="I27" s="40">
        <v>90413956500</v>
      </c>
      <c r="J27" s="72">
        <f>I27/C27*100%</f>
        <v>0.26972735042735041</v>
      </c>
      <c r="K27" s="24">
        <f t="shared" si="3"/>
        <v>0.26036086810035014</v>
      </c>
      <c r="L27" s="203">
        <f>I27/263320308701</f>
        <v>0.34336112146467584</v>
      </c>
      <c r="N27" s="40">
        <v>36045559278</v>
      </c>
    </row>
    <row r="28" spans="1:14" s="20" customFormat="1" ht="26.25" customHeight="1">
      <c r="A28" s="99">
        <v>9</v>
      </c>
      <c r="B28" s="48" t="s">
        <v>93</v>
      </c>
      <c r="C28" s="136"/>
      <c r="D28" s="59">
        <v>275429000000</v>
      </c>
      <c r="E28" s="40">
        <v>7501595691</v>
      </c>
      <c r="F28" s="72"/>
      <c r="G28" s="72">
        <f t="shared" si="1"/>
        <v>2.7236041560619977E-2</v>
      </c>
      <c r="H28" s="72">
        <f>E28/44122671815</f>
        <v>0.17001680502153427</v>
      </c>
      <c r="I28" s="40">
        <v>64358595691</v>
      </c>
      <c r="J28" s="72"/>
      <c r="K28" s="24">
        <f t="shared" si="3"/>
        <v>0.23366673694854209</v>
      </c>
      <c r="L28" s="203">
        <f>I28/122030122763</f>
        <v>0.52739925383828079</v>
      </c>
      <c r="N28" s="40">
        <v>31635166155</v>
      </c>
    </row>
    <row r="29" spans="1:14" s="20" customFormat="1" ht="26.25" customHeight="1">
      <c r="A29" s="99">
        <v>10</v>
      </c>
      <c r="B29" s="48" t="s">
        <v>150</v>
      </c>
      <c r="C29" s="136"/>
      <c r="D29" s="59">
        <v>110503000000</v>
      </c>
      <c r="E29" s="40">
        <v>18133972338</v>
      </c>
      <c r="F29" s="72"/>
      <c r="G29" s="72">
        <f t="shared" si="1"/>
        <v>0.16410389164095093</v>
      </c>
      <c r="H29" s="72">
        <f>E29/14424744020</f>
        <v>1.2571434413572353</v>
      </c>
      <c r="I29" s="40">
        <v>60554972338</v>
      </c>
      <c r="J29" s="72"/>
      <c r="K29" s="24">
        <f t="shared" si="3"/>
        <v>0.54799392177587936</v>
      </c>
      <c r="L29" s="203">
        <f>I29/56528896252</f>
        <v>1.0712215584053184</v>
      </c>
      <c r="N29" s="40">
        <v>26207290646</v>
      </c>
    </row>
    <row r="30" spans="1:14" s="20" customFormat="1" ht="26.25" customHeight="1">
      <c r="A30" s="99">
        <v>11</v>
      </c>
      <c r="B30" s="48" t="s">
        <v>94</v>
      </c>
      <c r="C30" s="136"/>
      <c r="D30" s="59">
        <v>209068000000</v>
      </c>
      <c r="E30" s="137">
        <v>43270127764</v>
      </c>
      <c r="F30" s="72"/>
      <c r="G30" s="72">
        <f t="shared" si="1"/>
        <v>0.2069667656647598</v>
      </c>
      <c r="H30" s="72">
        <f>E30/113154828015</f>
        <v>0.38239753904503337</v>
      </c>
      <c r="I30" s="40">
        <v>156935127764</v>
      </c>
      <c r="J30" s="72"/>
      <c r="K30" s="24">
        <f t="shared" si="3"/>
        <v>0.75064155090209883</v>
      </c>
      <c r="L30" s="203">
        <f>I30/189894888587</f>
        <v>0.82643155343331132</v>
      </c>
      <c r="N30" s="40">
        <v>41089050000</v>
      </c>
    </row>
    <row r="31" spans="1:14" s="20" customFormat="1" ht="26.25" customHeight="1">
      <c r="A31" s="102">
        <v>12</v>
      </c>
      <c r="B31" s="138" t="s">
        <v>95</v>
      </c>
      <c r="C31" s="139"/>
      <c r="D31" s="103">
        <v>5000000000</v>
      </c>
      <c r="E31" s="36">
        <v>88398800</v>
      </c>
      <c r="F31" s="112"/>
      <c r="G31" s="112">
        <f t="shared" si="1"/>
        <v>1.7679759999999999E-2</v>
      </c>
      <c r="H31" s="112">
        <f>E31/281531600</f>
        <v>0.31399246123703345</v>
      </c>
      <c r="I31" s="104">
        <v>294398800</v>
      </c>
      <c r="J31" s="112"/>
      <c r="K31" s="24">
        <f t="shared" si="3"/>
        <v>5.8879760000000003E-2</v>
      </c>
      <c r="L31" s="203">
        <f>I31/281531600</f>
        <v>1.0457042832847183</v>
      </c>
      <c r="N31" s="38">
        <f t="shared" ref="N31" si="10">M31</f>
        <v>0</v>
      </c>
    </row>
    <row r="32" spans="1:14" s="20" customFormat="1" ht="26.25" customHeight="1">
      <c r="A32" s="41" t="s">
        <v>96</v>
      </c>
      <c r="B32" s="140" t="s">
        <v>97</v>
      </c>
      <c r="C32" s="141"/>
      <c r="D32" s="42">
        <f>D34</f>
        <v>277588000000</v>
      </c>
      <c r="E32" s="42">
        <f>SUM(E33:E34)</f>
        <v>65528285538</v>
      </c>
      <c r="F32" s="24"/>
      <c r="G32" s="24">
        <f t="shared" si="1"/>
        <v>0.23606310625099067</v>
      </c>
      <c r="H32" s="24">
        <f>E32/337653106019</f>
        <v>0.19406984378314196</v>
      </c>
      <c r="I32" s="42">
        <f>SUM(I33:I34)</f>
        <v>180323285538</v>
      </c>
      <c r="J32" s="24"/>
      <c r="K32" s="24">
        <f t="shared" si="3"/>
        <v>0.6496076398763635</v>
      </c>
      <c r="L32" s="203">
        <f>I32/446445882954</f>
        <v>0.40390849691535802</v>
      </c>
      <c r="N32" s="42">
        <f>N33+N34</f>
        <v>46733315630</v>
      </c>
    </row>
    <row r="33" spans="1:14" s="20" customFormat="1" ht="18.75" customHeight="1">
      <c r="A33" s="43">
        <v>1</v>
      </c>
      <c r="B33" s="142" t="s">
        <v>36</v>
      </c>
      <c r="C33" s="141"/>
      <c r="D33" s="36">
        <v>0</v>
      </c>
      <c r="E33" s="36">
        <v>1257261476</v>
      </c>
      <c r="F33" s="24"/>
      <c r="G33" s="24"/>
      <c r="H33" s="24"/>
      <c r="I33" s="36">
        <v>4082261476</v>
      </c>
      <c r="J33" s="24"/>
      <c r="K33" s="24"/>
      <c r="L33" s="203"/>
      <c r="M33" s="25"/>
      <c r="N33" s="44"/>
    </row>
    <row r="34" spans="1:14" s="20" customFormat="1">
      <c r="A34" s="46">
        <v>2</v>
      </c>
      <c r="B34" s="140" t="s">
        <v>25</v>
      </c>
      <c r="C34" s="141"/>
      <c r="D34" s="28">
        <f>SUM(D35:D44)</f>
        <v>277588000000</v>
      </c>
      <c r="E34" s="28">
        <f t="shared" ref="E34" si="11">SUM(E35:E44)</f>
        <v>64271024062</v>
      </c>
      <c r="F34" s="24"/>
      <c r="G34" s="24">
        <f t="shared" ref="G34:G39" si="12">E34/D34*100%</f>
        <v>0.23153387056356903</v>
      </c>
      <c r="H34" s="24">
        <f>E34/337653106019</f>
        <v>0.1903463137649426</v>
      </c>
      <c r="I34" s="28">
        <f t="shared" ref="I34" si="13">SUM(I35:I44)</f>
        <v>176241024062</v>
      </c>
      <c r="J34" s="24"/>
      <c r="K34" s="24">
        <f t="shared" ref="K34:K39" si="14">I34/D34*100%</f>
        <v>0.63490145129472453</v>
      </c>
      <c r="L34" s="203">
        <f>I34/446445882954</f>
        <v>0.39476458579002993</v>
      </c>
      <c r="N34" s="28">
        <f t="shared" ref="N34" si="15">SUM(N35:N44)</f>
        <v>46733315630</v>
      </c>
    </row>
    <row r="35" spans="1:14" s="20" customFormat="1">
      <c r="A35" s="118" t="s">
        <v>98</v>
      </c>
      <c r="B35" s="129" t="s">
        <v>86</v>
      </c>
      <c r="C35" s="143"/>
      <c r="D35" s="49">
        <v>24941000000</v>
      </c>
      <c r="E35" s="49">
        <v>5227234467</v>
      </c>
      <c r="F35" s="70"/>
      <c r="G35" s="70">
        <f t="shared" si="12"/>
        <v>0.20958399691271401</v>
      </c>
      <c r="H35" s="70">
        <f>E35/5077862492</f>
        <v>1.0294163095663442</v>
      </c>
      <c r="I35" s="49">
        <v>13718234467</v>
      </c>
      <c r="J35" s="70"/>
      <c r="K35" s="121">
        <f t="shared" si="14"/>
        <v>0.55002744344653387</v>
      </c>
      <c r="L35" s="203">
        <f>I35/12496589173</f>
        <v>1.0977582984515066</v>
      </c>
      <c r="N35" s="47">
        <v>2703062729</v>
      </c>
    </row>
    <row r="36" spans="1:14" s="20" customFormat="1">
      <c r="A36" s="99" t="s">
        <v>99</v>
      </c>
      <c r="B36" s="131" t="s">
        <v>24</v>
      </c>
      <c r="C36" s="144"/>
      <c r="D36" s="40">
        <v>45337000000</v>
      </c>
      <c r="E36" s="40">
        <v>12727109858</v>
      </c>
      <c r="F36" s="72"/>
      <c r="G36" s="72">
        <f t="shared" si="12"/>
        <v>0.28072236491166158</v>
      </c>
      <c r="H36" s="72">
        <f>E36/12998749361</f>
        <v>0.97910264322697094</v>
      </c>
      <c r="I36" s="40">
        <v>31597109858</v>
      </c>
      <c r="J36" s="72"/>
      <c r="K36" s="24">
        <f t="shared" si="14"/>
        <v>0.69693870035511829</v>
      </c>
      <c r="L36" s="203">
        <f>I36/30339374213</f>
        <v>1.0414555566034409</v>
      </c>
      <c r="N36" s="40">
        <v>6932257569</v>
      </c>
    </row>
    <row r="37" spans="1:14" s="20" customFormat="1">
      <c r="A37" s="99" t="s">
        <v>100</v>
      </c>
      <c r="B37" s="48" t="s">
        <v>89</v>
      </c>
      <c r="C37" s="144"/>
      <c r="D37" s="40">
        <v>1212000000</v>
      </c>
      <c r="E37" s="40">
        <v>192323849</v>
      </c>
      <c r="F37" s="72"/>
      <c r="G37" s="72">
        <f t="shared" si="12"/>
        <v>0.15868304372937295</v>
      </c>
      <c r="H37" s="72">
        <f>E37/224932030</f>
        <v>0.85503095757416137</v>
      </c>
      <c r="I37" s="40">
        <v>839323849</v>
      </c>
      <c r="J37" s="72"/>
      <c r="K37" s="24">
        <f t="shared" si="14"/>
        <v>0.69251142656765674</v>
      </c>
      <c r="L37" s="203">
        <f>I37/674012800</f>
        <v>1.2452639608624643</v>
      </c>
      <c r="N37" s="40">
        <v>198138800</v>
      </c>
    </row>
    <row r="38" spans="1:14" s="20" customFormat="1">
      <c r="A38" s="99" t="s">
        <v>101</v>
      </c>
      <c r="B38" s="48" t="s">
        <v>90</v>
      </c>
      <c r="C38" s="144"/>
      <c r="D38" s="40">
        <v>1004000000</v>
      </c>
      <c r="E38" s="40">
        <v>146473406</v>
      </c>
      <c r="F38" s="72"/>
      <c r="G38" s="72">
        <f t="shared" si="12"/>
        <v>0.14588984661354581</v>
      </c>
      <c r="H38" s="72">
        <f>E38/71467085</f>
        <v>2.0495226019082771</v>
      </c>
      <c r="I38" s="40">
        <v>293473406</v>
      </c>
      <c r="J38" s="72"/>
      <c r="K38" s="24">
        <f t="shared" si="14"/>
        <v>0.29230418924302787</v>
      </c>
      <c r="L38" s="203">
        <f>I38/170162082</f>
        <v>1.7246698121617952</v>
      </c>
      <c r="N38" s="40">
        <v>14825808</v>
      </c>
    </row>
    <row r="39" spans="1:14" s="20" customFormat="1">
      <c r="A39" s="99" t="s">
        <v>102</v>
      </c>
      <c r="B39" s="48" t="s">
        <v>91</v>
      </c>
      <c r="C39" s="144"/>
      <c r="D39" s="40">
        <v>1146000000</v>
      </c>
      <c r="E39" s="40">
        <v>167566960</v>
      </c>
      <c r="F39" s="72"/>
      <c r="G39" s="72">
        <f t="shared" si="12"/>
        <v>0.1462189877835951</v>
      </c>
      <c r="H39" s="72">
        <f>E39/105539003</f>
        <v>1.5877254402336927</v>
      </c>
      <c r="I39" s="40">
        <v>541566960</v>
      </c>
      <c r="J39" s="72"/>
      <c r="K39" s="24">
        <f t="shared" si="14"/>
        <v>0.47257151832460731</v>
      </c>
      <c r="L39" s="203">
        <f>I39/388169303</f>
        <v>1.3951823490792625</v>
      </c>
      <c r="N39" s="40">
        <v>49686040</v>
      </c>
    </row>
    <row r="40" spans="1:14" s="20" customFormat="1">
      <c r="A40" s="99" t="s">
        <v>103</v>
      </c>
      <c r="B40" s="48" t="s">
        <v>92</v>
      </c>
      <c r="C40" s="144"/>
      <c r="D40" s="40">
        <v>0</v>
      </c>
      <c r="E40" s="40">
        <v>37303372</v>
      </c>
      <c r="F40" s="72"/>
      <c r="G40" s="72"/>
      <c r="H40" s="72"/>
      <c r="I40" s="40">
        <v>116303372</v>
      </c>
      <c r="J40" s="72"/>
      <c r="K40" s="24"/>
      <c r="L40" s="203"/>
      <c r="N40" s="40">
        <v>9700000</v>
      </c>
    </row>
    <row r="41" spans="1:14" s="20" customFormat="1">
      <c r="A41" s="99" t="s">
        <v>104</v>
      </c>
      <c r="B41" s="48" t="s">
        <v>93</v>
      </c>
      <c r="C41" s="144"/>
      <c r="D41" s="40">
        <v>3380000000</v>
      </c>
      <c r="E41" s="40">
        <v>236375872</v>
      </c>
      <c r="F41" s="72"/>
      <c r="G41" s="72">
        <f>E41/D41*100%</f>
        <v>6.9933689940828409E-2</v>
      </c>
      <c r="H41" s="72">
        <f>E41/482382580</f>
        <v>0.49001742973388468</v>
      </c>
      <c r="I41" s="40">
        <v>732375872</v>
      </c>
      <c r="J41" s="40"/>
      <c r="K41" s="24">
        <f>I41/D41*100%</f>
        <v>0.21667925207100591</v>
      </c>
      <c r="L41" s="203">
        <f>I41/814043049</f>
        <v>0.8996770783801632</v>
      </c>
      <c r="N41" s="40">
        <v>184436145</v>
      </c>
    </row>
    <row r="42" spans="1:14" s="20" customFormat="1">
      <c r="A42" s="99" t="s">
        <v>105</v>
      </c>
      <c r="B42" s="48" t="s">
        <v>106</v>
      </c>
      <c r="C42" s="144"/>
      <c r="D42" s="40">
        <v>164114000000</v>
      </c>
      <c r="E42" s="40">
        <v>37753083176</v>
      </c>
      <c r="F42" s="72"/>
      <c r="G42" s="72">
        <f>E42/D42*100%</f>
        <v>0.23004181956444911</v>
      </c>
      <c r="H42" s="72">
        <f>E42/310552199709</f>
        <v>0.12156759221598228</v>
      </c>
      <c r="I42" s="40">
        <v>106635083176</v>
      </c>
      <c r="J42" s="40"/>
      <c r="K42" s="24">
        <f>I42/D42*100%</f>
        <v>0.64976225779640984</v>
      </c>
      <c r="L42" s="203">
        <f>I42/381338917550</f>
        <v>0.2796333609512025</v>
      </c>
      <c r="N42" s="40">
        <v>31646095579</v>
      </c>
    </row>
    <row r="43" spans="1:14" s="20" customFormat="1">
      <c r="A43" s="99" t="s">
        <v>107</v>
      </c>
      <c r="B43" s="48" t="s">
        <v>94</v>
      </c>
      <c r="C43" s="144"/>
      <c r="D43" s="40">
        <v>939000000</v>
      </c>
      <c r="E43" s="137">
        <v>308812513</v>
      </c>
      <c r="F43" s="72"/>
      <c r="G43" s="72">
        <f>E43/D43*100%</f>
        <v>0.32887381576144836</v>
      </c>
      <c r="H43" s="72">
        <f>E43/292411373</f>
        <v>1.0560892684567369</v>
      </c>
      <c r="I43" s="40">
        <v>467812513</v>
      </c>
      <c r="J43" s="40"/>
      <c r="K43" s="24">
        <f>I43/D43*100%</f>
        <v>0.49820288924387646</v>
      </c>
      <c r="L43" s="203">
        <f>I43/425671345</f>
        <v>1.0989993066129458</v>
      </c>
      <c r="N43" s="40">
        <v>67542000</v>
      </c>
    </row>
    <row r="44" spans="1:14" s="20" customFormat="1">
      <c r="A44" s="102" t="s">
        <v>108</v>
      </c>
      <c r="B44" s="138" t="s">
        <v>95</v>
      </c>
      <c r="C44" s="135"/>
      <c r="D44" s="104">
        <v>35515000000</v>
      </c>
      <c r="E44" s="104">
        <v>7474740589</v>
      </c>
      <c r="F44" s="112"/>
      <c r="G44" s="112">
        <f>E44/D44*100%</f>
        <v>0.21046714315078136</v>
      </c>
      <c r="H44" s="112">
        <f>E44/7735831156</f>
        <v>0.9662491900695771</v>
      </c>
      <c r="I44" s="104">
        <v>21299740589</v>
      </c>
      <c r="J44" s="104"/>
      <c r="K44" s="24">
        <f>I44/D44*100%</f>
        <v>0.59973928168379553</v>
      </c>
      <c r="L44" s="203">
        <f>I44/19654309999</f>
        <v>1.0837185630064712</v>
      </c>
      <c r="N44" s="49">
        <v>4927570960</v>
      </c>
    </row>
    <row r="45" spans="1:14" s="20" customFormat="1" ht="27" customHeight="1">
      <c r="A45" s="41" t="s">
        <v>9</v>
      </c>
      <c r="B45" s="145" t="s">
        <v>151</v>
      </c>
      <c r="C45" s="141"/>
      <c r="D45" s="35"/>
      <c r="E45" s="28"/>
      <c r="F45" s="24"/>
      <c r="G45" s="24"/>
      <c r="H45" s="24"/>
      <c r="I45" s="28"/>
      <c r="J45" s="28"/>
      <c r="K45" s="24"/>
      <c r="L45" s="203"/>
      <c r="N45" s="50"/>
    </row>
    <row r="46" spans="1:14" s="20" customFormat="1" ht="33" customHeight="1">
      <c r="A46" s="41" t="s">
        <v>11</v>
      </c>
      <c r="B46" s="145" t="s">
        <v>109</v>
      </c>
      <c r="C46" s="146"/>
      <c r="D46" s="35">
        <v>64225000000</v>
      </c>
      <c r="E46" s="28">
        <v>50763562299</v>
      </c>
      <c r="F46" s="24"/>
      <c r="G46" s="24">
        <f>E46/D46*100%</f>
        <v>0.79040190422732581</v>
      </c>
      <c r="H46" s="24"/>
      <c r="I46" s="28">
        <v>60763562299</v>
      </c>
      <c r="J46" s="28"/>
      <c r="K46" s="24">
        <f>I46/D46*100%</f>
        <v>0.94610451224601011</v>
      </c>
      <c r="L46" s="202"/>
      <c r="N46" s="50">
        <v>11000000000</v>
      </c>
    </row>
    <row r="47" spans="1:14" s="29" customFormat="1">
      <c r="A47" s="51" t="s">
        <v>45</v>
      </c>
      <c r="B47" s="107" t="s">
        <v>152</v>
      </c>
      <c r="C47" s="108"/>
      <c r="D47" s="28"/>
      <c r="E47" s="35">
        <f>E48</f>
        <v>0</v>
      </c>
      <c r="F47" s="24"/>
      <c r="G47" s="24"/>
      <c r="H47" s="24"/>
      <c r="I47" s="28"/>
      <c r="J47" s="28"/>
      <c r="K47" s="24"/>
      <c r="L47" s="202"/>
      <c r="N47" s="52">
        <v>0</v>
      </c>
    </row>
    <row r="48" spans="1:14" s="29" customFormat="1">
      <c r="A48" s="51" t="s">
        <v>142</v>
      </c>
      <c r="B48" s="140" t="s">
        <v>114</v>
      </c>
      <c r="C48" s="28">
        <v>59200000000</v>
      </c>
      <c r="D48" s="28">
        <f>D49+D50</f>
        <v>59200000000</v>
      </c>
      <c r="E48" s="28">
        <f>E49+E50</f>
        <v>0</v>
      </c>
      <c r="F48" s="24">
        <f>E48/C48*100%</f>
        <v>0</v>
      </c>
      <c r="G48" s="24">
        <f>E48/D48*100%</f>
        <v>0</v>
      </c>
      <c r="H48" s="24"/>
      <c r="I48" s="28"/>
      <c r="J48" s="28"/>
      <c r="K48" s="24"/>
      <c r="L48" s="202"/>
      <c r="N48" s="88"/>
    </row>
    <row r="49" spans="1:14" s="29" customFormat="1">
      <c r="A49" s="105"/>
      <c r="B49" s="130" t="s">
        <v>85</v>
      </c>
      <c r="C49" s="106"/>
      <c r="D49" s="49">
        <v>53755000000</v>
      </c>
      <c r="E49" s="122"/>
      <c r="F49" s="100"/>
      <c r="G49" s="100">
        <f>E49/D49*100%</f>
        <v>0</v>
      </c>
      <c r="H49" s="100"/>
      <c r="I49" s="106"/>
      <c r="J49" s="106"/>
      <c r="K49" s="24"/>
      <c r="L49" s="202"/>
      <c r="N49" s="88"/>
    </row>
    <row r="50" spans="1:14" s="29" customFormat="1">
      <c r="A50" s="109"/>
      <c r="B50" s="115" t="s">
        <v>115</v>
      </c>
      <c r="C50" s="111"/>
      <c r="D50" s="104">
        <v>5445000000</v>
      </c>
      <c r="E50" s="55"/>
      <c r="F50" s="96"/>
      <c r="G50" s="96">
        <f>E50/D50*100%</f>
        <v>0</v>
      </c>
      <c r="H50" s="96"/>
      <c r="I50" s="111"/>
      <c r="J50" s="111"/>
      <c r="K50" s="24"/>
      <c r="L50" s="202"/>
      <c r="N50" s="88"/>
    </row>
    <row r="51" spans="1:14" s="29" customFormat="1">
      <c r="A51" s="51" t="s">
        <v>144</v>
      </c>
      <c r="B51" s="140" t="s">
        <v>33</v>
      </c>
      <c r="C51" s="28"/>
      <c r="D51" s="28">
        <v>883000000</v>
      </c>
      <c r="E51" s="28"/>
      <c r="F51" s="101"/>
      <c r="G51" s="101">
        <f>E51/D51*100%</f>
        <v>0</v>
      </c>
      <c r="H51" s="101"/>
      <c r="I51" s="28"/>
      <c r="J51" s="28"/>
      <c r="K51" s="24"/>
      <c r="L51" s="202"/>
      <c r="N51" s="88"/>
    </row>
    <row r="52" spans="1:14" s="20" customFormat="1">
      <c r="A52" s="41" t="s">
        <v>2</v>
      </c>
      <c r="B52" s="140" t="s">
        <v>110</v>
      </c>
      <c r="C52" s="141"/>
      <c r="D52" s="35">
        <f>D53</f>
        <v>0</v>
      </c>
      <c r="E52" s="35">
        <f>E53</f>
        <v>15937821620</v>
      </c>
      <c r="F52" s="24"/>
      <c r="G52" s="24"/>
      <c r="H52" s="24"/>
      <c r="I52" s="35">
        <f>I53</f>
        <v>59467821620</v>
      </c>
      <c r="J52" s="35"/>
      <c r="K52" s="24"/>
      <c r="L52" s="202"/>
      <c r="N52" s="45">
        <f>N53</f>
        <v>25517000000</v>
      </c>
    </row>
    <row r="53" spans="1:14" s="20" customFormat="1">
      <c r="A53" s="113"/>
      <c r="B53" s="147" t="s">
        <v>111</v>
      </c>
      <c r="C53" s="130"/>
      <c r="D53" s="119"/>
      <c r="E53" s="114">
        <f>SUM(E54:E55)</f>
        <v>15937821620</v>
      </c>
      <c r="F53" s="70"/>
      <c r="G53" s="70"/>
      <c r="H53" s="70"/>
      <c r="I53" s="114">
        <f>SUM(I54:I55)</f>
        <v>59467821620</v>
      </c>
      <c r="J53" s="70"/>
      <c r="K53" s="24"/>
      <c r="L53" s="202"/>
      <c r="N53" s="54">
        <f>SUM(N54:N55)</f>
        <v>25517000000</v>
      </c>
    </row>
    <row r="54" spans="1:14" s="20" customFormat="1" ht="21" customHeight="1">
      <c r="A54" s="71">
        <v>1</v>
      </c>
      <c r="B54" s="132" t="s">
        <v>112</v>
      </c>
      <c r="C54" s="132"/>
      <c r="D54" s="59"/>
      <c r="E54" s="59">
        <v>14214000000</v>
      </c>
      <c r="F54" s="72"/>
      <c r="G54" s="72"/>
      <c r="H54" s="72"/>
      <c r="I54" s="59">
        <v>52207000000</v>
      </c>
      <c r="J54" s="72"/>
      <c r="K54" s="24"/>
      <c r="L54" s="202"/>
      <c r="N54" s="53">
        <v>25517000000</v>
      </c>
    </row>
    <row r="55" spans="1:14" s="20" customFormat="1" ht="26.25" customHeight="1">
      <c r="A55" s="110">
        <v>2</v>
      </c>
      <c r="B55" s="115" t="s">
        <v>113</v>
      </c>
      <c r="C55" s="115"/>
      <c r="D55" s="103"/>
      <c r="E55" s="115">
        <v>1723821620</v>
      </c>
      <c r="F55" s="103"/>
      <c r="G55" s="103"/>
      <c r="H55" s="103"/>
      <c r="I55" s="115">
        <v>7260821620</v>
      </c>
      <c r="J55" s="112"/>
      <c r="K55" s="24"/>
      <c r="L55" s="202"/>
      <c r="M55" s="1"/>
      <c r="N55" s="55">
        <v>0</v>
      </c>
    </row>
    <row r="56" spans="1:14" s="20" customFormat="1" ht="26.25" customHeight="1">
      <c r="A56" s="33" t="s">
        <v>10</v>
      </c>
      <c r="B56" s="127" t="s">
        <v>47</v>
      </c>
      <c r="C56" s="128"/>
      <c r="D56" s="35">
        <v>0</v>
      </c>
      <c r="E56" s="35">
        <v>17860793989</v>
      </c>
      <c r="F56" s="45"/>
      <c r="G56" s="45"/>
      <c r="H56" s="45"/>
      <c r="I56" s="35">
        <v>86388823704</v>
      </c>
      <c r="J56" s="45"/>
      <c r="K56" s="24"/>
      <c r="L56" s="204"/>
      <c r="N56" s="45">
        <v>26825994349</v>
      </c>
    </row>
    <row r="57" spans="1:14" s="20" customFormat="1" ht="26.25" customHeight="1">
      <c r="A57" s="33" t="s">
        <v>23</v>
      </c>
      <c r="B57" s="127" t="s">
        <v>117</v>
      </c>
      <c r="C57" s="128"/>
      <c r="D57" s="35">
        <v>0</v>
      </c>
      <c r="E57" s="35"/>
      <c r="F57" s="92"/>
      <c r="G57" s="92"/>
      <c r="H57" s="92"/>
      <c r="I57" s="73"/>
      <c r="J57" s="73"/>
      <c r="K57" s="24"/>
      <c r="L57" s="205"/>
      <c r="N57" s="74"/>
    </row>
    <row r="58" spans="1:14" s="20" customFormat="1" ht="26.25" hidden="1" customHeight="1">
      <c r="A58" s="33" t="s">
        <v>116</v>
      </c>
      <c r="B58" s="33" t="s">
        <v>163</v>
      </c>
      <c r="C58" s="34"/>
      <c r="D58" s="73">
        <v>0</v>
      </c>
      <c r="E58" s="73"/>
      <c r="F58" s="92"/>
      <c r="G58" s="92"/>
      <c r="H58" s="92"/>
      <c r="I58" s="73"/>
      <c r="J58" s="73"/>
      <c r="K58" s="24"/>
      <c r="L58" s="205"/>
      <c r="N58" s="75">
        <v>211732505077</v>
      </c>
    </row>
    <row r="59" spans="1:14" ht="26.25" customHeight="1">
      <c r="D59" s="63"/>
      <c r="G59" s="91"/>
      <c r="I59" s="19"/>
      <c r="J59" s="97"/>
    </row>
    <row r="60" spans="1:14" ht="26.25" customHeight="1">
      <c r="B60" s="56"/>
      <c r="G60" s="91"/>
    </row>
    <row r="61" spans="1:14" ht="26.25" customHeight="1">
      <c r="G61" s="91"/>
    </row>
    <row r="62" spans="1:14" ht="26.25" customHeight="1">
      <c r="G62" s="91"/>
    </row>
    <row r="63" spans="1:14" ht="26.25" customHeight="1">
      <c r="C63"/>
      <c r="G63" s="91"/>
    </row>
    <row r="64" spans="1:14" ht="26.25" customHeight="1">
      <c r="B64" s="57"/>
      <c r="C64"/>
      <c r="G64" s="91"/>
    </row>
    <row r="65" spans="2:7" ht="26.25" customHeight="1">
      <c r="B65" s="57"/>
      <c r="C65"/>
      <c r="G65" s="91"/>
    </row>
    <row r="66" spans="2:7" ht="26.25" customHeight="1">
      <c r="B66" s="57"/>
      <c r="C66"/>
      <c r="G66" s="91"/>
    </row>
    <row r="67" spans="2:7" ht="26.25" customHeight="1">
      <c r="C67"/>
      <c r="G67" s="91"/>
    </row>
    <row r="68" spans="2:7" ht="26.25" customHeight="1">
      <c r="C68"/>
      <c r="G68" s="91"/>
    </row>
    <row r="69" spans="2:7" ht="26.25" customHeight="1">
      <c r="C69"/>
      <c r="G69" s="91"/>
    </row>
    <row r="70" spans="2:7">
      <c r="G70" s="90"/>
    </row>
  </sheetData>
  <mergeCells count="19">
    <mergeCell ref="A5:D5"/>
    <mergeCell ref="A7:A8"/>
    <mergeCell ref="B7:B8"/>
    <mergeCell ref="G7:G8"/>
    <mergeCell ref="A1:B1"/>
    <mergeCell ref="A2:B2"/>
    <mergeCell ref="D1:K1"/>
    <mergeCell ref="D2:K2"/>
    <mergeCell ref="A4:K4"/>
    <mergeCell ref="J7:J8"/>
    <mergeCell ref="H7:H8"/>
    <mergeCell ref="C7:C8"/>
    <mergeCell ref="L7:L8"/>
    <mergeCell ref="N7:N8"/>
    <mergeCell ref="D7:D8"/>
    <mergeCell ref="E7:E8"/>
    <mergeCell ref="F7:F8"/>
    <mergeCell ref="I7:I8"/>
    <mergeCell ref="K7:K8"/>
  </mergeCells>
  <pageMargins left="0.7" right="0.7" top="0.75" bottom="0.75" header="0.3" footer="0.3"/>
  <pageSetup paperSize="9" scale="7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C39F04-4E44-4AF0-9C2F-F3E5D7CF234C}"/>
</file>

<file path=customXml/itemProps2.xml><?xml version="1.0" encoding="utf-8"?>
<ds:datastoreItem xmlns:ds="http://schemas.openxmlformats.org/officeDocument/2006/customXml" ds:itemID="{F020B5B7-212A-449E-9CAB-A5579C5615E6}"/>
</file>

<file path=customXml/itemProps3.xml><?xml version="1.0" encoding="utf-8"?>
<ds:datastoreItem xmlns:ds="http://schemas.openxmlformats.org/officeDocument/2006/customXml" ds:itemID="{272001B9-0C85-49ED-B516-FE2290243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MAU 93-ck (2)</vt:lpstr>
      <vt:lpstr>MAU 94-ck (4)</vt:lpstr>
      <vt:lpstr>MAU 95-CK </vt:lpstr>
      <vt:lpstr>'MAU 93-ck (2)'!Print_Titles</vt:lpstr>
      <vt:lpstr>'MAU 94-ck (4)'!Print_Titles</vt:lpstr>
      <vt:lpstr>'MAU 95-CK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 VU BH</dc:creator>
  <cp:lastModifiedBy>Administrator</cp:lastModifiedBy>
  <cp:lastPrinted>2023-10-10T08:15:05Z</cp:lastPrinted>
  <dcterms:created xsi:type="dcterms:W3CDTF">2017-07-22T05:53:59Z</dcterms:created>
  <dcterms:modified xsi:type="dcterms:W3CDTF">2023-10-12T00:57:57Z</dcterms:modified>
</cp:coreProperties>
</file>